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njn\Dropbox\個人フォルダ\副業\家計簿販売\"/>
    </mc:Choice>
  </mc:AlternateContent>
  <xr:revisionPtr revIDLastSave="0" documentId="13_ncr:1_{30B4F626-8287-48FF-B268-D646CE97DF6B}" xr6:coauthVersionLast="47" xr6:coauthVersionMax="47" xr10:uidLastSave="{00000000-0000-0000-0000-000000000000}"/>
  <workbookProtection workbookAlgorithmName="SHA-512" workbookHashValue="ETJ4X4ja5Otgmd+5GGHG9oo9q6bilRPMhX4lJoAPW2Ey9VjH0TMi0B9rPiuSUWdRJ3s0Ehn+Dk3Ja5frJFvIKA==" workbookSaltValue="GmORdr5rrswzegpuJvMeQw==" workbookSpinCount="100000" lockStructure="1"/>
  <bookViews>
    <workbookView xWindow="-120" yWindow="-120" windowWidth="29040" windowHeight="15720" xr2:uid="{00000000-000D-0000-FFFF-FFFF00000000}"/>
  </bookViews>
  <sheets>
    <sheet name="一覧" sheetId="5" r:id="rId1"/>
    <sheet name="入力" sheetId="2" state="hidden" r:id="rId2"/>
    <sheet name="入力例" sheetId="6" r:id="rId3"/>
    <sheet name="集計" sheetId="3" state="hidden" r:id="rId4"/>
  </sheets>
  <definedNames>
    <definedName name="_xlnm.Print_Area" localSheetId="0">一覧!$A$1:$T$37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0" i="6" l="1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29" i="2"/>
  <c r="T28" i="2"/>
  <c r="T27" i="2"/>
  <c r="T26" i="2"/>
  <c r="T25" i="2"/>
  <c r="T24" i="2"/>
  <c r="T23" i="2"/>
  <c r="T22" i="2"/>
  <c r="T21" i="2"/>
  <c r="T20" i="2"/>
  <c r="B1" i="3"/>
  <c r="C110" i="3"/>
  <c r="R6" i="5" s="1"/>
  <c r="C111" i="3"/>
  <c r="R7" i="5" s="1"/>
  <c r="C112" i="3"/>
  <c r="R8" i="5" s="1"/>
  <c r="C113" i="3"/>
  <c r="R9" i="5" s="1"/>
  <c r="C114" i="3"/>
  <c r="R10" i="5" s="1"/>
  <c r="C115" i="3"/>
  <c r="R11" i="5" s="1"/>
  <c r="C116" i="3"/>
  <c r="R12" i="5" s="1"/>
  <c r="C117" i="3"/>
  <c r="R13" i="5" s="1"/>
  <c r="C118" i="3"/>
  <c r="R14" i="5" s="1"/>
  <c r="C109" i="3"/>
  <c r="B110" i="3"/>
  <c r="B111" i="3"/>
  <c r="B112" i="3"/>
  <c r="Q8" i="5" s="1"/>
  <c r="B113" i="3"/>
  <c r="B114" i="3"/>
  <c r="Q10" i="5" s="1"/>
  <c r="B115" i="3"/>
  <c r="Q11" i="5" s="1"/>
  <c r="B116" i="3"/>
  <c r="Q12" i="5" s="1"/>
  <c r="B117" i="3"/>
  <c r="Q13" i="5" s="1"/>
  <c r="B118" i="3"/>
  <c r="Q14" i="5" s="1"/>
  <c r="B109" i="3"/>
  <c r="E8" i="3"/>
  <c r="U9" i="3"/>
  <c r="U10" i="3"/>
  <c r="U11" i="3"/>
  <c r="U12" i="3"/>
  <c r="U13" i="3"/>
  <c r="U14" i="3"/>
  <c r="U15" i="3"/>
  <c r="U16" i="3"/>
  <c r="U17" i="3"/>
  <c r="U8" i="3"/>
  <c r="C4" i="3" l="1" a="1"/>
  <c r="C4" i="3" s="1"/>
  <c r="A111" i="3" a="1"/>
  <c r="A111" i="3" s="1"/>
  <c r="A110" i="3" a="1"/>
  <c r="A110" i="3" s="1"/>
  <c r="A113" i="3" a="1"/>
  <c r="A113" i="3" s="1"/>
  <c r="Q6" i="5"/>
  <c r="Q7" i="5"/>
  <c r="Q9" i="5"/>
  <c r="A114" i="3" a="1"/>
  <c r="A114" i="3" s="1"/>
  <c r="A118" i="3" a="1"/>
  <c r="A118" i="3" s="1"/>
  <c r="A117" i="3" a="1"/>
  <c r="A117" i="3" s="1"/>
  <c r="A116" i="3" a="1"/>
  <c r="A116" i="3" s="1"/>
  <c r="A115" i="3" a="1"/>
  <c r="A115" i="3" s="1"/>
  <c r="A112" i="3" a="1"/>
  <c r="A112" i="3" s="1"/>
  <c r="S29" i="2" l="1"/>
  <c r="S28" i="2"/>
  <c r="S27" i="2"/>
  <c r="E30" i="3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Q5" i="5"/>
  <c r="G91" i="3"/>
  <c r="E28" i="3"/>
  <c r="C24" i="3"/>
  <c r="C23" i="3"/>
  <c r="C22" i="3"/>
  <c r="A22" i="3"/>
  <c r="C21" i="3"/>
  <c r="A21" i="3"/>
  <c r="E17" i="3"/>
  <c r="E16" i="3"/>
  <c r="E15" i="3"/>
  <c r="E14" i="3"/>
  <c r="E13" i="3"/>
  <c r="E12" i="3"/>
  <c r="E11" i="3"/>
  <c r="E10" i="3"/>
  <c r="E9" i="3"/>
  <c r="B8" i="3"/>
  <c r="G8" i="3" s="1"/>
  <c r="S80" i="6"/>
  <c r="S7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B37" i="6"/>
  <c r="S36" i="6"/>
  <c r="S35" i="6"/>
  <c r="S34" i="6"/>
  <c r="B34" i="6"/>
  <c r="B35" i="6" s="1"/>
  <c r="S33" i="6"/>
  <c r="S32" i="6"/>
  <c r="B32" i="6"/>
  <c r="S31" i="6"/>
  <c r="Q30" i="6"/>
  <c r="P30" i="6"/>
  <c r="O30" i="6"/>
  <c r="N30" i="6"/>
  <c r="M30" i="6"/>
  <c r="L30" i="6"/>
  <c r="K30" i="6"/>
  <c r="J30" i="6"/>
  <c r="I30" i="6"/>
  <c r="H30" i="6"/>
  <c r="G30" i="6"/>
  <c r="F30" i="6"/>
  <c r="S29" i="6"/>
  <c r="S28" i="6"/>
  <c r="S23" i="6"/>
  <c r="S22" i="6"/>
  <c r="S21" i="6"/>
  <c r="S20" i="6"/>
  <c r="Q19" i="6"/>
  <c r="P19" i="6"/>
  <c r="O19" i="6"/>
  <c r="N19" i="6"/>
  <c r="M19" i="6"/>
  <c r="L19" i="6"/>
  <c r="K19" i="6"/>
  <c r="J19" i="6"/>
  <c r="I19" i="6"/>
  <c r="H19" i="6"/>
  <c r="G19" i="6"/>
  <c r="F19" i="6"/>
  <c r="Q18" i="6"/>
  <c r="P18" i="6"/>
  <c r="O18" i="6"/>
  <c r="N18" i="6"/>
  <c r="M18" i="6"/>
  <c r="L18" i="6"/>
  <c r="K18" i="6"/>
  <c r="J18" i="6"/>
  <c r="I18" i="6"/>
  <c r="H18" i="6"/>
  <c r="G18" i="6"/>
  <c r="F18" i="6"/>
  <c r="Q5" i="6"/>
  <c r="P5" i="6"/>
  <c r="O5" i="6"/>
  <c r="N5" i="6"/>
  <c r="M5" i="6"/>
  <c r="L5" i="6"/>
  <c r="K5" i="6"/>
  <c r="J5" i="6"/>
  <c r="I5" i="6"/>
  <c r="H5" i="6"/>
  <c r="G5" i="6"/>
  <c r="F5" i="6"/>
  <c r="D5" i="6"/>
  <c r="S34" i="2"/>
  <c r="S33" i="2"/>
  <c r="S32" i="2"/>
  <c r="S31" i="2"/>
  <c r="Q30" i="2"/>
  <c r="P30" i="2"/>
  <c r="O30" i="2"/>
  <c r="N30" i="2"/>
  <c r="M30" i="2"/>
  <c r="L30" i="2"/>
  <c r="K30" i="2"/>
  <c r="J30" i="2"/>
  <c r="I30" i="2"/>
  <c r="H30" i="2"/>
  <c r="G30" i="2"/>
  <c r="F30" i="2"/>
  <c r="S26" i="2"/>
  <c r="S25" i="2"/>
  <c r="S24" i="2"/>
  <c r="S23" i="2"/>
  <c r="S22" i="2"/>
  <c r="S21" i="2"/>
  <c r="S20" i="2"/>
  <c r="Q19" i="2"/>
  <c r="P19" i="2"/>
  <c r="O19" i="2"/>
  <c r="N19" i="2"/>
  <c r="M19" i="2"/>
  <c r="L19" i="2"/>
  <c r="K19" i="2"/>
  <c r="J19" i="2"/>
  <c r="I19" i="2"/>
  <c r="H19" i="2"/>
  <c r="G19" i="2"/>
  <c r="F19" i="2"/>
  <c r="Q18" i="2"/>
  <c r="P18" i="2"/>
  <c r="O18" i="2"/>
  <c r="N18" i="2"/>
  <c r="M18" i="2"/>
  <c r="L18" i="2"/>
  <c r="K18" i="2"/>
  <c r="J18" i="2"/>
  <c r="I18" i="2"/>
  <c r="H18" i="2"/>
  <c r="G18" i="2"/>
  <c r="F18" i="2"/>
  <c r="K5" i="2"/>
  <c r="J5" i="2"/>
  <c r="I5" i="2"/>
  <c r="H5" i="2"/>
  <c r="G5" i="2"/>
  <c r="F5" i="2"/>
  <c r="C3" i="3" s="1" a="1"/>
  <c r="C3" i="3" s="1"/>
  <c r="C6" i="5" s="1"/>
  <c r="D5" i="2"/>
  <c r="I3" i="3" s="1"/>
  <c r="B35" i="5"/>
  <c r="B25" i="5"/>
  <c r="B23" i="5"/>
  <c r="B22" i="5"/>
  <c r="B21" i="5"/>
  <c r="B8" i="5"/>
  <c r="B7" i="5"/>
  <c r="B6" i="5"/>
  <c r="A1" i="5"/>
  <c r="Q15" i="5" s="1"/>
  <c r="T30" i="2" l="1"/>
  <c r="T19" i="2"/>
  <c r="S19" i="6"/>
  <c r="A8" i="3"/>
  <c r="D113" i="3" a="1"/>
  <c r="D113" i="3" s="1"/>
  <c r="S9" i="5" s="1"/>
  <c r="D110" i="3" a="1"/>
  <c r="D110" i="3" s="1"/>
  <c r="S6" i="5" s="1"/>
  <c r="D114" i="3" a="1"/>
  <c r="D114" i="3" s="1"/>
  <c r="S10" i="5" s="1"/>
  <c r="D115" i="3" a="1"/>
  <c r="D115" i="3" s="1"/>
  <c r="S11" i="5" s="1"/>
  <c r="D117" i="3" a="1"/>
  <c r="D117" i="3" s="1"/>
  <c r="S13" i="5" s="1"/>
  <c r="D118" i="3" a="1"/>
  <c r="D118" i="3" s="1"/>
  <c r="S14" i="5" s="1"/>
  <c r="D112" i="3" a="1"/>
  <c r="D112" i="3" s="1"/>
  <c r="S8" i="5" s="1"/>
  <c r="D116" i="3" a="1"/>
  <c r="D116" i="3" s="1"/>
  <c r="S12" i="5" s="1"/>
  <c r="D111" i="3" a="1"/>
  <c r="D111" i="3" s="1"/>
  <c r="S7" i="5" s="1"/>
  <c r="D109" i="3" a="1"/>
  <c r="D109" i="3" s="1"/>
  <c r="R77" i="3"/>
  <c r="M76" i="3"/>
  <c r="O74" i="3"/>
  <c r="Q72" i="3"/>
  <c r="S70" i="3"/>
  <c r="N69" i="3"/>
  <c r="P67" i="3"/>
  <c r="R65" i="3"/>
  <c r="M64" i="3"/>
  <c r="O62" i="3"/>
  <c r="Q60" i="3"/>
  <c r="S58" i="3"/>
  <c r="N57" i="3"/>
  <c r="P55" i="3"/>
  <c r="R53" i="3"/>
  <c r="M52" i="3"/>
  <c r="O50" i="3"/>
  <c r="Q48" i="3"/>
  <c r="S46" i="3"/>
  <c r="N45" i="3"/>
  <c r="P43" i="3"/>
  <c r="R41" i="3"/>
  <c r="M40" i="3"/>
  <c r="O38" i="3"/>
  <c r="Q36" i="3"/>
  <c r="S34" i="3"/>
  <c r="N33" i="3"/>
  <c r="P31" i="3"/>
  <c r="R29" i="3"/>
  <c r="M28" i="3"/>
  <c r="Q77" i="3"/>
  <c r="S75" i="3"/>
  <c r="N74" i="3"/>
  <c r="P72" i="3"/>
  <c r="R70" i="3"/>
  <c r="M69" i="3"/>
  <c r="O67" i="3"/>
  <c r="Q65" i="3"/>
  <c r="S63" i="3"/>
  <c r="N62" i="3"/>
  <c r="P60" i="3"/>
  <c r="R58" i="3"/>
  <c r="M57" i="3"/>
  <c r="O55" i="3"/>
  <c r="Q53" i="3"/>
  <c r="S51" i="3"/>
  <c r="N50" i="3"/>
  <c r="P48" i="3"/>
  <c r="R46" i="3"/>
  <c r="M45" i="3"/>
  <c r="O43" i="3"/>
  <c r="Q41" i="3"/>
  <c r="S39" i="3"/>
  <c r="N38" i="3"/>
  <c r="P36" i="3"/>
  <c r="R34" i="3"/>
  <c r="M33" i="3"/>
  <c r="O31" i="3"/>
  <c r="Q29" i="3"/>
  <c r="P77" i="3"/>
  <c r="R75" i="3"/>
  <c r="M74" i="3"/>
  <c r="O72" i="3"/>
  <c r="Q70" i="3"/>
  <c r="S68" i="3"/>
  <c r="N67" i="3"/>
  <c r="P65" i="3"/>
  <c r="R63" i="3"/>
  <c r="M62" i="3"/>
  <c r="O60" i="3"/>
  <c r="Q58" i="3"/>
  <c r="S56" i="3"/>
  <c r="N55" i="3"/>
  <c r="P53" i="3"/>
  <c r="R51" i="3"/>
  <c r="M50" i="3"/>
  <c r="O48" i="3"/>
  <c r="Q46" i="3"/>
  <c r="S44" i="3"/>
  <c r="N43" i="3"/>
  <c r="P41" i="3"/>
  <c r="R39" i="3"/>
  <c r="M38" i="3"/>
  <c r="O36" i="3"/>
  <c r="Q34" i="3"/>
  <c r="S32" i="3"/>
  <c r="N31" i="3"/>
  <c r="P29" i="3"/>
  <c r="D22" i="3" a="1"/>
  <c r="D22" i="3" s="1"/>
  <c r="C22" i="5" s="1"/>
  <c r="O77" i="3"/>
  <c r="Q75" i="3"/>
  <c r="S73" i="3"/>
  <c r="N72" i="3"/>
  <c r="P70" i="3"/>
  <c r="R68" i="3"/>
  <c r="M67" i="3"/>
  <c r="O65" i="3"/>
  <c r="Q63" i="3"/>
  <c r="S61" i="3"/>
  <c r="N60" i="3"/>
  <c r="P58" i="3"/>
  <c r="R56" i="3"/>
  <c r="M55" i="3"/>
  <c r="O53" i="3"/>
  <c r="Q51" i="3"/>
  <c r="S49" i="3"/>
  <c r="N48" i="3"/>
  <c r="P46" i="3"/>
  <c r="R44" i="3"/>
  <c r="M43" i="3"/>
  <c r="O41" i="3"/>
  <c r="Q39" i="3"/>
  <c r="S37" i="3"/>
  <c r="N36" i="3"/>
  <c r="P34" i="3"/>
  <c r="R32" i="3"/>
  <c r="M31" i="3"/>
  <c r="O29" i="3"/>
  <c r="M77" i="3"/>
  <c r="O75" i="3"/>
  <c r="Q73" i="3"/>
  <c r="S71" i="3"/>
  <c r="N70" i="3"/>
  <c r="P68" i="3"/>
  <c r="R66" i="3"/>
  <c r="M65" i="3"/>
  <c r="O63" i="3"/>
  <c r="Q61" i="3"/>
  <c r="S59" i="3"/>
  <c r="N58" i="3"/>
  <c r="P56" i="3"/>
  <c r="R54" i="3"/>
  <c r="M53" i="3"/>
  <c r="O51" i="3"/>
  <c r="Q49" i="3"/>
  <c r="S47" i="3"/>
  <c r="N46" i="3"/>
  <c r="P44" i="3"/>
  <c r="R42" i="3"/>
  <c r="N77" i="3"/>
  <c r="P75" i="3"/>
  <c r="R73" i="3"/>
  <c r="M72" i="3"/>
  <c r="O70" i="3"/>
  <c r="Q68" i="3"/>
  <c r="S66" i="3"/>
  <c r="N65" i="3"/>
  <c r="P63" i="3"/>
  <c r="R61" i="3"/>
  <c r="M60" i="3"/>
  <c r="O58" i="3"/>
  <c r="Q56" i="3"/>
  <c r="S54" i="3"/>
  <c r="N53" i="3"/>
  <c r="P51" i="3"/>
  <c r="R49" i="3"/>
  <c r="M48" i="3"/>
  <c r="O46" i="3"/>
  <c r="Q44" i="3"/>
  <c r="S42" i="3"/>
  <c r="N41" i="3"/>
  <c r="P39" i="3"/>
  <c r="R37" i="3"/>
  <c r="M36" i="3"/>
  <c r="O34" i="3"/>
  <c r="Q32" i="3"/>
  <c r="S30" i="3"/>
  <c r="N29" i="3"/>
  <c r="D21" i="3" a="1"/>
  <c r="D21" i="3" s="1"/>
  <c r="C21" i="5" s="1"/>
  <c r="N75" i="3"/>
  <c r="R71" i="3"/>
  <c r="O68" i="3"/>
  <c r="S64" i="3"/>
  <c r="P61" i="3"/>
  <c r="M58" i="3"/>
  <c r="Q54" i="3"/>
  <c r="N51" i="3"/>
  <c r="R47" i="3"/>
  <c r="O44" i="3"/>
  <c r="M41" i="3"/>
  <c r="Q38" i="3"/>
  <c r="P35" i="3"/>
  <c r="O32" i="3"/>
  <c r="S29" i="3"/>
  <c r="M75" i="3"/>
  <c r="Q71" i="3"/>
  <c r="N68" i="3"/>
  <c r="R64" i="3"/>
  <c r="O61" i="3"/>
  <c r="S57" i="3"/>
  <c r="P54" i="3"/>
  <c r="M51" i="3"/>
  <c r="Q47" i="3"/>
  <c r="N44" i="3"/>
  <c r="S40" i="3"/>
  <c r="P38" i="3"/>
  <c r="O35" i="3"/>
  <c r="N32" i="3"/>
  <c r="M29" i="3"/>
  <c r="S74" i="3"/>
  <c r="P71" i="3"/>
  <c r="M68" i="3"/>
  <c r="Q64" i="3"/>
  <c r="N61" i="3"/>
  <c r="R57" i="3"/>
  <c r="O54" i="3"/>
  <c r="S50" i="3"/>
  <c r="P47" i="3"/>
  <c r="M44" i="3"/>
  <c r="R40" i="3"/>
  <c r="Q37" i="3"/>
  <c r="N35" i="3"/>
  <c r="M32" i="3"/>
  <c r="S28" i="3"/>
  <c r="R74" i="3"/>
  <c r="O71" i="3"/>
  <c r="S67" i="3"/>
  <c r="P64" i="3"/>
  <c r="M61" i="3"/>
  <c r="Q57" i="3"/>
  <c r="N54" i="3"/>
  <c r="R50" i="3"/>
  <c r="O47" i="3"/>
  <c r="S43" i="3"/>
  <c r="Q40" i="3"/>
  <c r="P37" i="3"/>
  <c r="M35" i="3"/>
  <c r="S31" i="3"/>
  <c r="R28" i="3"/>
  <c r="Q74" i="3"/>
  <c r="N71" i="3"/>
  <c r="O64" i="3"/>
  <c r="S60" i="3"/>
  <c r="P57" i="3"/>
  <c r="M54" i="3"/>
  <c r="N47" i="3"/>
  <c r="R43" i="3"/>
  <c r="P40" i="3"/>
  <c r="O37" i="3"/>
  <c r="R31" i="3"/>
  <c r="Q28" i="3"/>
  <c r="O40" i="3"/>
  <c r="P28" i="3"/>
  <c r="M73" i="3"/>
  <c r="S72" i="3"/>
  <c r="P69" i="3"/>
  <c r="M66" i="3"/>
  <c r="Q62" i="3"/>
  <c r="N59" i="3"/>
  <c r="R55" i="3"/>
  <c r="S48" i="3"/>
  <c r="P45" i="3"/>
  <c r="M42" i="3"/>
  <c r="R35" i="3"/>
  <c r="N30" i="3"/>
  <c r="N76" i="3"/>
  <c r="R72" i="3"/>
  <c r="O69" i="3"/>
  <c r="S65" i="3"/>
  <c r="M59" i="3"/>
  <c r="Q55" i="3"/>
  <c r="R48" i="3"/>
  <c r="S41" i="3"/>
  <c r="Q35" i="3"/>
  <c r="M30" i="3"/>
  <c r="P76" i="3"/>
  <c r="Q69" i="3"/>
  <c r="N66" i="3"/>
  <c r="R62" i="3"/>
  <c r="O59" i="3"/>
  <c r="S55" i="3"/>
  <c r="P52" i="3"/>
  <c r="M49" i="3"/>
  <c r="Q45" i="3"/>
  <c r="N42" i="3"/>
  <c r="M39" i="3"/>
  <c r="S35" i="3"/>
  <c r="P33" i="3"/>
  <c r="O30" i="3"/>
  <c r="F4" i="3"/>
  <c r="F3" i="3" s="1"/>
  <c r="O76" i="3"/>
  <c r="O52" i="3"/>
  <c r="S38" i="3"/>
  <c r="O33" i="3"/>
  <c r="P62" i="3"/>
  <c r="N52" i="3"/>
  <c r="O45" i="3"/>
  <c r="R38" i="3"/>
  <c r="P32" i="3"/>
  <c r="R67" i="3"/>
  <c r="Q50" i="3"/>
  <c r="N34" i="3"/>
  <c r="S77" i="3"/>
  <c r="P74" i="3"/>
  <c r="M71" i="3"/>
  <c r="Q67" i="3"/>
  <c r="N64" i="3"/>
  <c r="R60" i="3"/>
  <c r="O57" i="3"/>
  <c r="S53" i="3"/>
  <c r="P50" i="3"/>
  <c r="M47" i="3"/>
  <c r="Q43" i="3"/>
  <c r="N37" i="3"/>
  <c r="M34" i="3"/>
  <c r="Q31" i="3"/>
  <c r="S76" i="3"/>
  <c r="P73" i="3"/>
  <c r="M70" i="3"/>
  <c r="Q66" i="3"/>
  <c r="N63" i="3"/>
  <c r="R59" i="3"/>
  <c r="O56" i="3"/>
  <c r="S52" i="3"/>
  <c r="P49" i="3"/>
  <c r="M46" i="3"/>
  <c r="Q42" i="3"/>
  <c r="N40" i="3"/>
  <c r="M37" i="3"/>
  <c r="S33" i="3"/>
  <c r="R30" i="3"/>
  <c r="O28" i="3"/>
  <c r="R76" i="3"/>
  <c r="O73" i="3"/>
  <c r="S69" i="3"/>
  <c r="P66" i="3"/>
  <c r="M63" i="3"/>
  <c r="Q59" i="3"/>
  <c r="N56" i="3"/>
  <c r="R52" i="3"/>
  <c r="O49" i="3"/>
  <c r="S45" i="3"/>
  <c r="P42" i="3"/>
  <c r="O39" i="3"/>
  <c r="S36" i="3"/>
  <c r="R33" i="3"/>
  <c r="Q30" i="3"/>
  <c r="N28" i="3"/>
  <c r="Q76" i="3"/>
  <c r="N73" i="3"/>
  <c r="R69" i="3"/>
  <c r="O66" i="3"/>
  <c r="S62" i="3"/>
  <c r="P59" i="3"/>
  <c r="M56" i="3"/>
  <c r="Q52" i="3"/>
  <c r="N49" i="3"/>
  <c r="R45" i="3"/>
  <c r="O42" i="3"/>
  <c r="N39" i="3"/>
  <c r="R36" i="3"/>
  <c r="Q33" i="3"/>
  <c r="P30" i="3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V17" i="3" a="1"/>
  <c r="V17" i="3" s="1"/>
  <c r="D8" i="3"/>
  <c r="D4" i="2"/>
  <c r="E29" i="3"/>
  <c r="E31" i="3"/>
  <c r="A109" i="3" a="1"/>
  <c r="A109" i="3" s="1"/>
  <c r="Z21" i="3"/>
  <c r="K21" i="3" s="1"/>
  <c r="AF21" i="3"/>
  <c r="Q21" i="3" s="1"/>
  <c r="AD22" i="3"/>
  <c r="O22" i="3" s="1"/>
  <c r="AE22" i="3"/>
  <c r="P22" i="3" s="1"/>
  <c r="AF22" i="3"/>
  <c r="Q22" i="3" s="1"/>
  <c r="N23" i="3"/>
  <c r="Q23" i="3"/>
  <c r="Y22" i="3"/>
  <c r="J22" i="3" s="1"/>
  <c r="S23" i="3"/>
  <c r="Z22" i="3"/>
  <c r="K22" i="3" s="1"/>
  <c r="AG21" i="3"/>
  <c r="R21" i="3" s="1"/>
  <c r="O23" i="3"/>
  <c r="P23" i="3"/>
  <c r="AA22" i="3"/>
  <c r="L22" i="3" s="1"/>
  <c r="AB22" i="3"/>
  <c r="M22" i="3" s="1"/>
  <c r="R5" i="5"/>
  <c r="A10" i="3"/>
  <c r="B10" i="3" s="1" a="1"/>
  <c r="B10" i="3" s="1"/>
  <c r="G10" i="3" s="1"/>
  <c r="A9" i="3"/>
  <c r="B9" i="3" s="1" a="1"/>
  <c r="B9" i="3" s="1"/>
  <c r="G9" i="3" s="1"/>
  <c r="A16" i="3"/>
  <c r="B16" i="3" s="1" a="1"/>
  <c r="B16" i="3" s="1"/>
  <c r="G16" i="3" s="1"/>
  <c r="S30" i="6"/>
  <c r="A14" i="3"/>
  <c r="B14" i="3" s="1" a="1"/>
  <c r="B14" i="3" s="1"/>
  <c r="G14" i="3" s="1"/>
  <c r="A12" i="3"/>
  <c r="B12" i="3" s="1" a="1"/>
  <c r="B12" i="3" s="1"/>
  <c r="G12" i="3" s="1"/>
  <c r="A11" i="3"/>
  <c r="B11" i="3" s="1" a="1"/>
  <c r="B11" i="3" s="1"/>
  <c r="G11" i="3" s="1"/>
  <c r="A13" i="3"/>
  <c r="B13" i="3" s="1" a="1"/>
  <c r="B13" i="3" s="1"/>
  <c r="G13" i="3" s="1"/>
  <c r="A15" i="3"/>
  <c r="B15" i="3" s="1" a="1"/>
  <c r="B15" i="3" s="1"/>
  <c r="G15" i="3" s="1"/>
  <c r="AC21" i="3"/>
  <c r="N21" i="3" s="1"/>
  <c r="J23" i="3"/>
  <c r="AA21" i="3"/>
  <c r="L21" i="3" s="1"/>
  <c r="AG22" i="3"/>
  <c r="R22" i="3" s="1"/>
  <c r="AB21" i="3"/>
  <c r="M21" i="3" s="1"/>
  <c r="B20" i="5"/>
  <c r="A17" i="3"/>
  <c r="B17" i="3" s="1" a="1"/>
  <c r="B17" i="3" s="1"/>
  <c r="G17" i="3" s="1"/>
  <c r="AD21" i="3"/>
  <c r="O21" i="3" s="1"/>
  <c r="K23" i="3"/>
  <c r="S30" i="2"/>
  <c r="L23" i="3"/>
  <c r="AC22" i="3"/>
  <c r="N22" i="3" s="1"/>
  <c r="AH21" i="3"/>
  <c r="S21" i="3" s="1"/>
  <c r="R23" i="3"/>
  <c r="AH22" i="3"/>
  <c r="S22" i="3" s="1"/>
  <c r="X21" i="3"/>
  <c r="I21" i="3" s="1"/>
  <c r="I23" i="3"/>
  <c r="X22" i="3"/>
  <c r="I22" i="3" s="1"/>
  <c r="Y21" i="3"/>
  <c r="J21" i="3" s="1"/>
  <c r="H23" i="3"/>
  <c r="W22" i="3"/>
  <c r="H22" i="3" s="1"/>
  <c r="W21" i="3"/>
  <c r="H21" i="3" s="1"/>
  <c r="S19" i="2"/>
  <c r="AE21" i="3"/>
  <c r="P21" i="3" s="1"/>
  <c r="M23" i="3"/>
  <c r="W17" i="3" l="1" a="1"/>
  <c r="W17" i="3" s="1"/>
  <c r="AH17" i="3" a="1"/>
  <c r="AH17" i="3" s="1"/>
  <c r="AG17" i="3" a="1"/>
  <c r="AG17" i="3" s="1"/>
  <c r="AE17" i="3" a="1"/>
  <c r="AE17" i="3" s="1"/>
  <c r="AC17" i="3" a="1"/>
  <c r="AC17" i="3" s="1"/>
  <c r="AB17" i="3" a="1"/>
  <c r="AB17" i="3" s="1"/>
  <c r="AA17" i="3" a="1"/>
  <c r="AA17" i="3" s="1"/>
  <c r="Y17" i="3" a="1"/>
  <c r="Y17" i="3" s="1"/>
  <c r="Z17" i="3" a="1"/>
  <c r="Z17" i="3" s="1"/>
  <c r="X17" i="3" a="1"/>
  <c r="X17" i="3" s="1"/>
  <c r="AF17" i="3" a="1"/>
  <c r="AF17" i="3" s="1"/>
  <c r="AD17" i="3" a="1"/>
  <c r="AD17" i="3" s="1"/>
  <c r="D17" i="3"/>
  <c r="D12" i="3"/>
  <c r="D11" i="3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V15" i="3" a="1"/>
  <c r="V15" i="3" s="1"/>
  <c r="D14" i="3"/>
  <c r="D16" i="3"/>
  <c r="V9" i="3" a="1"/>
  <c r="V9" i="3" s="1"/>
  <c r="H16" i="3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D13" i="3"/>
  <c r="D15" i="3"/>
  <c r="V11" i="3" a="1"/>
  <c r="V11" i="3" s="1"/>
  <c r="H14" i="3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D10" i="3"/>
  <c r="H9" i="3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V16" i="3" a="1"/>
  <c r="V16" i="3" s="1"/>
  <c r="V10" i="3" a="1"/>
  <c r="V10" i="3" s="1"/>
  <c r="H15" i="3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H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V13" i="3" a="1"/>
  <c r="V13" i="3" s="1"/>
  <c r="D9" i="3"/>
  <c r="H13" i="3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V12" i="3" a="1"/>
  <c r="V12" i="3" s="1"/>
  <c r="H11" i="3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V14" i="3" a="1"/>
  <c r="V14" i="3" s="1"/>
  <c r="V8" i="3" a="1"/>
  <c r="V8" i="3" s="1"/>
  <c r="H17" i="3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E32" i="3"/>
  <c r="T22" i="3"/>
  <c r="T21" i="3"/>
  <c r="L5" i="2"/>
  <c r="AD11" i="3" l="1" a="1"/>
  <c r="AD11" i="3" s="1"/>
  <c r="AC11" i="3" a="1"/>
  <c r="AC11" i="3" s="1"/>
  <c r="AB11" i="3" a="1"/>
  <c r="AB11" i="3" s="1"/>
  <c r="AE11" i="3" a="1"/>
  <c r="AE11" i="3" s="1"/>
  <c r="AA11" i="3" a="1"/>
  <c r="AA11" i="3" s="1"/>
  <c r="Y11" i="3" a="1"/>
  <c r="Y11" i="3" s="1"/>
  <c r="AH11" i="3" a="1"/>
  <c r="AH11" i="3" s="1"/>
  <c r="Z11" i="3" a="1"/>
  <c r="Z11" i="3" s="1"/>
  <c r="X11" i="3" a="1"/>
  <c r="X11" i="3" s="1"/>
  <c r="W11" i="3" a="1"/>
  <c r="W11" i="3" s="1"/>
  <c r="AG11" i="3" a="1"/>
  <c r="AG11" i="3" s="1"/>
  <c r="AF11" i="3" a="1"/>
  <c r="AF11" i="3" s="1"/>
  <c r="AD12" i="3" a="1"/>
  <c r="AD12" i="3" s="1"/>
  <c r="AC12" i="3" a="1"/>
  <c r="AC12" i="3" s="1"/>
  <c r="AB12" i="3" a="1"/>
  <c r="AB12" i="3" s="1"/>
  <c r="AA12" i="3" a="1"/>
  <c r="AA12" i="3" s="1"/>
  <c r="Z12" i="3" a="1"/>
  <c r="Z12" i="3" s="1"/>
  <c r="AG12" i="3" a="1"/>
  <c r="AG12" i="3" s="1"/>
  <c r="AF12" i="3" a="1"/>
  <c r="AF12" i="3" s="1"/>
  <c r="Y12" i="3" a="1"/>
  <c r="Y12" i="3" s="1"/>
  <c r="X12" i="3" a="1"/>
  <c r="X12" i="3" s="1"/>
  <c r="W12" i="3" a="1"/>
  <c r="W12" i="3" s="1"/>
  <c r="AH12" i="3" a="1"/>
  <c r="AH12" i="3" s="1"/>
  <c r="AE12" i="3" a="1"/>
  <c r="AE12" i="3" s="1"/>
  <c r="AC13" i="3" a="1"/>
  <c r="AC13" i="3" s="1"/>
  <c r="AB13" i="3" a="1"/>
  <c r="AB13" i="3" s="1"/>
  <c r="AA13" i="3" a="1"/>
  <c r="AA13" i="3" s="1"/>
  <c r="Z13" i="3" a="1"/>
  <c r="Z13" i="3" s="1"/>
  <c r="Y13" i="3" a="1"/>
  <c r="Y13" i="3" s="1"/>
  <c r="AG13" i="3" a="1"/>
  <c r="AG13" i="3" s="1"/>
  <c r="AD13" i="3" a="1"/>
  <c r="AD13" i="3" s="1"/>
  <c r="X13" i="3" a="1"/>
  <c r="X13" i="3" s="1"/>
  <c r="AH13" i="3" a="1"/>
  <c r="AH13" i="3" s="1"/>
  <c r="W13" i="3" a="1"/>
  <c r="W13" i="3" s="1"/>
  <c r="AF13" i="3" a="1"/>
  <c r="AF13" i="3" s="1"/>
  <c r="AE13" i="3" a="1"/>
  <c r="AE13" i="3" s="1"/>
  <c r="AF9" i="3" a="1"/>
  <c r="AF9" i="3" s="1"/>
  <c r="AE9" i="3" a="1"/>
  <c r="AE9" i="3" s="1"/>
  <c r="AD9" i="3" a="1"/>
  <c r="AD9" i="3" s="1"/>
  <c r="AC9" i="3" a="1"/>
  <c r="AC9" i="3" s="1"/>
  <c r="AB9" i="3" a="1"/>
  <c r="AB9" i="3" s="1"/>
  <c r="W9" i="3" a="1"/>
  <c r="W9" i="3" s="1"/>
  <c r="AG9" i="3" a="1"/>
  <c r="AG9" i="3" s="1"/>
  <c r="AA9" i="3" a="1"/>
  <c r="AA9" i="3" s="1"/>
  <c r="Z9" i="3" a="1"/>
  <c r="Z9" i="3" s="1"/>
  <c r="Y9" i="3" a="1"/>
  <c r="Y9" i="3" s="1"/>
  <c r="X9" i="3" a="1"/>
  <c r="X9" i="3" s="1"/>
  <c r="AH9" i="3" a="1"/>
  <c r="AH9" i="3" s="1"/>
  <c r="AF8" i="3" a="1"/>
  <c r="AF8" i="3" s="1"/>
  <c r="AE8" i="3" a="1"/>
  <c r="AE8" i="3" s="1"/>
  <c r="AD8" i="3" a="1"/>
  <c r="AD8" i="3" s="1"/>
  <c r="AG8" i="3" a="1"/>
  <c r="AG8" i="3" s="1"/>
  <c r="AC8" i="3" a="1"/>
  <c r="AC8" i="3" s="1"/>
  <c r="AA8" i="3" a="1"/>
  <c r="AA8" i="3" s="1"/>
  <c r="Z8" i="3" a="1"/>
  <c r="Z8" i="3" s="1"/>
  <c r="Y8" i="3" a="1"/>
  <c r="Y8" i="3" s="1"/>
  <c r="AH8" i="3" a="1"/>
  <c r="AH8" i="3" s="1"/>
  <c r="AB8" i="3" a="1"/>
  <c r="AB8" i="3" s="1"/>
  <c r="X8" i="3" a="1"/>
  <c r="X8" i="3" s="1"/>
  <c r="W8" i="3" a="1"/>
  <c r="W8" i="3" s="1"/>
  <c r="AC14" i="3" a="1"/>
  <c r="AC14" i="3" s="1"/>
  <c r="AB14" i="3" a="1"/>
  <c r="AB14" i="3" s="1"/>
  <c r="AA14" i="3" a="1"/>
  <c r="AA14" i="3" s="1"/>
  <c r="Z14" i="3" a="1"/>
  <c r="Z14" i="3" s="1"/>
  <c r="Y14" i="3" a="1"/>
  <c r="Y14" i="3" s="1"/>
  <c r="AH14" i="3" a="1"/>
  <c r="AH14" i="3" s="1"/>
  <c r="AE14" i="3" a="1"/>
  <c r="AE14" i="3" s="1"/>
  <c r="X14" i="3" a="1"/>
  <c r="X14" i="3" s="1"/>
  <c r="W14" i="3" a="1"/>
  <c r="W14" i="3" s="1"/>
  <c r="AG14" i="3" a="1"/>
  <c r="AG14" i="3" s="1"/>
  <c r="AF14" i="3" a="1"/>
  <c r="AF14" i="3" s="1"/>
  <c r="AD14" i="3" a="1"/>
  <c r="AD14" i="3" s="1"/>
  <c r="AE10" i="3" a="1"/>
  <c r="AE10" i="3" s="1"/>
  <c r="AD10" i="3" a="1"/>
  <c r="AD10" i="3" s="1"/>
  <c r="AC10" i="3" a="1"/>
  <c r="AC10" i="3" s="1"/>
  <c r="AB10" i="3" a="1"/>
  <c r="AB10" i="3" s="1"/>
  <c r="AA10" i="3" a="1"/>
  <c r="AA10" i="3" s="1"/>
  <c r="X10" i="3" a="1"/>
  <c r="X10" i="3" s="1"/>
  <c r="AH10" i="3" a="1"/>
  <c r="AH10" i="3" s="1"/>
  <c r="AG10" i="3" a="1"/>
  <c r="AG10" i="3" s="1"/>
  <c r="Z10" i="3" a="1"/>
  <c r="Z10" i="3" s="1"/>
  <c r="Y10" i="3" a="1"/>
  <c r="Y10" i="3" s="1"/>
  <c r="W10" i="3" a="1"/>
  <c r="W10" i="3" s="1"/>
  <c r="AF10" i="3" a="1"/>
  <c r="AF10" i="3" s="1"/>
  <c r="AB15" i="3" a="1"/>
  <c r="AB15" i="3" s="1"/>
  <c r="AA15" i="3" a="1"/>
  <c r="AA15" i="3" s="1"/>
  <c r="Z15" i="3" a="1"/>
  <c r="Z15" i="3" s="1"/>
  <c r="Y15" i="3" a="1"/>
  <c r="Y15" i="3" s="1"/>
  <c r="AC15" i="3" a="1"/>
  <c r="AC15" i="3" s="1"/>
  <c r="X15" i="3" a="1"/>
  <c r="X15" i="3" s="1"/>
  <c r="AF15" i="3" a="1"/>
  <c r="AF15" i="3" s="1"/>
  <c r="W15" i="3" a="1"/>
  <c r="W15" i="3" s="1"/>
  <c r="AH15" i="3" a="1"/>
  <c r="AH15" i="3" s="1"/>
  <c r="AG15" i="3" a="1"/>
  <c r="AG15" i="3" s="1"/>
  <c r="AE15" i="3" a="1"/>
  <c r="AE15" i="3" s="1"/>
  <c r="AD15" i="3" a="1"/>
  <c r="AD15" i="3" s="1"/>
  <c r="AB16" i="3" a="1"/>
  <c r="AB16" i="3" s="1"/>
  <c r="AA16" i="3" a="1"/>
  <c r="AA16" i="3" s="1"/>
  <c r="Z16" i="3" a="1"/>
  <c r="Z16" i="3" s="1"/>
  <c r="Y16" i="3" a="1"/>
  <c r="Y16" i="3" s="1"/>
  <c r="X16" i="3" a="1"/>
  <c r="X16" i="3" s="1"/>
  <c r="AF16" i="3" a="1"/>
  <c r="AF16" i="3" s="1"/>
  <c r="AE16" i="3" a="1"/>
  <c r="AE16" i="3" s="1"/>
  <c r="AD16" i="3" a="1"/>
  <c r="AD16" i="3" s="1"/>
  <c r="W16" i="3" a="1"/>
  <c r="W16" i="3" s="1"/>
  <c r="AH16" i="3" a="1"/>
  <c r="AH16" i="3" s="1"/>
  <c r="AG16" i="3" a="1"/>
  <c r="AG16" i="3" s="1"/>
  <c r="AC16" i="3" a="1"/>
  <c r="AC16" i="3" s="1"/>
  <c r="S5" i="5"/>
  <c r="E33" i="3"/>
  <c r="T23" i="3"/>
  <c r="C36" i="5" s="1"/>
  <c r="C8" i="5"/>
  <c r="M5" i="2"/>
  <c r="E34" i="3" l="1"/>
  <c r="N5" i="2"/>
  <c r="D23" i="3"/>
  <c r="C23" i="5" s="1"/>
  <c r="E35" i="3" l="1"/>
  <c r="O5" i="2"/>
  <c r="D24" i="3"/>
  <c r="C25" i="5" s="1"/>
  <c r="Q5" i="2" l="1"/>
  <c r="P5" i="2"/>
  <c r="I4" i="3" l="1"/>
  <c r="R16" i="5" s="1"/>
  <c r="B5" i="5"/>
  <c r="C7" i="5"/>
  <c r="C8" i="3"/>
  <c r="C13" i="3"/>
  <c r="C10" i="3"/>
  <c r="C11" i="3"/>
  <c r="C9" i="3"/>
  <c r="C16" i="3"/>
  <c r="C15" i="3"/>
  <c r="C12" i="3"/>
  <c r="C14" i="3"/>
  <c r="C17" i="3"/>
  <c r="E36" i="3"/>
  <c r="E37" i="3"/>
  <c r="Q16" i="5" l="1"/>
  <c r="E38" i="3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E55" i="3" l="1"/>
  <c r="E56" i="3" l="1"/>
  <c r="E57" i="3" l="1"/>
  <c r="E58" i="3" l="1"/>
  <c r="E59" i="3" l="1"/>
  <c r="E60" i="3" l="1"/>
  <c r="E61" i="3" l="1"/>
  <c r="E62" i="3" l="1"/>
  <c r="E63" i="3" l="1"/>
  <c r="E64" i="3" l="1"/>
  <c r="E65" i="3" l="1"/>
  <c r="E66" i="3" l="1"/>
  <c r="E67" i="3" l="1"/>
  <c r="E68" i="3" l="1"/>
  <c r="E69" i="3" l="1"/>
  <c r="E70" i="3" l="1"/>
  <c r="E71" i="3" l="1"/>
  <c r="E72" i="3" l="1"/>
  <c r="E73" i="3" l="1"/>
  <c r="E74" i="3" l="1"/>
  <c r="E75" i="3" l="1"/>
  <c r="E76" i="3" l="1"/>
  <c r="E77" i="3" l="1"/>
  <c r="V29" i="3" l="1"/>
  <c r="B29" i="3" s="1" a="1"/>
  <c r="B29" i="3" s="1"/>
  <c r="V75" i="3"/>
  <c r="B75" i="3" s="1" a="1"/>
  <c r="B75" i="3" s="1"/>
  <c r="V64" i="3"/>
  <c r="B64" i="3" s="1" a="1"/>
  <c r="B64" i="3" s="1"/>
  <c r="V67" i="3"/>
  <c r="B67" i="3" s="1" a="1"/>
  <c r="B67" i="3" s="1"/>
  <c r="V60" i="3"/>
  <c r="B60" i="3" s="1" a="1"/>
  <c r="B60" i="3" s="1"/>
  <c r="V76" i="3"/>
  <c r="B76" i="3" s="1" a="1"/>
  <c r="B76" i="3" s="1"/>
  <c r="V57" i="3"/>
  <c r="B57" i="3" s="1" a="1"/>
  <c r="B57" i="3" s="1"/>
  <c r="V52" i="3"/>
  <c r="B52" i="3" s="1" a="1"/>
  <c r="B52" i="3" s="1"/>
  <c r="V59" i="3"/>
  <c r="B59" i="3" s="1" a="1"/>
  <c r="B59" i="3" s="1"/>
  <c r="V32" i="3"/>
  <c r="B32" i="3" s="1" a="1"/>
  <c r="B32" i="3" s="1"/>
  <c r="V65" i="3"/>
  <c r="B65" i="3" s="1" a="1"/>
  <c r="B65" i="3" s="1"/>
  <c r="V40" i="3"/>
  <c r="B40" i="3" s="1" a="1"/>
  <c r="B40" i="3" s="1"/>
  <c r="V30" i="3"/>
  <c r="B30" i="3" s="1" a="1"/>
  <c r="B30" i="3" s="1"/>
  <c r="V49" i="3"/>
  <c r="B49" i="3" s="1" a="1"/>
  <c r="B49" i="3" s="1"/>
  <c r="V44" i="3"/>
  <c r="B44" i="3" s="1" a="1"/>
  <c r="B44" i="3" s="1"/>
  <c r="V33" i="3"/>
  <c r="B33" i="3" s="1" a="1"/>
  <c r="B33" i="3" s="1"/>
  <c r="V68" i="3"/>
  <c r="B68" i="3" s="1" a="1"/>
  <c r="B68" i="3" s="1"/>
  <c r="V73" i="3"/>
  <c r="B73" i="3" s="1" a="1"/>
  <c r="B73" i="3" s="1"/>
  <c r="V74" i="3"/>
  <c r="B74" i="3" s="1" a="1"/>
  <c r="B74" i="3" s="1"/>
  <c r="V63" i="3"/>
  <c r="B63" i="3" s="1" a="1"/>
  <c r="B63" i="3" s="1"/>
  <c r="V36" i="3"/>
  <c r="B36" i="3" s="1" a="1"/>
  <c r="B36" i="3" s="1"/>
  <c r="V39" i="3"/>
  <c r="B39" i="3" s="1" a="1"/>
  <c r="B39" i="3" s="1"/>
  <c r="V77" i="3"/>
  <c r="B77" i="3" s="1" a="1"/>
  <c r="B77" i="3" s="1"/>
  <c r="V31" i="3"/>
  <c r="B31" i="3" s="1" a="1"/>
  <c r="B31" i="3" s="1"/>
  <c r="V56" i="3"/>
  <c r="B56" i="3" s="1" a="1"/>
  <c r="B56" i="3" s="1"/>
  <c r="V48" i="3"/>
  <c r="B48" i="3" s="1" a="1"/>
  <c r="B48" i="3" s="1"/>
  <c r="V41" i="3"/>
  <c r="B41" i="3" s="1" a="1"/>
  <c r="B41" i="3" s="1"/>
  <c r="V43" i="3"/>
  <c r="B43" i="3" s="1" a="1"/>
  <c r="B43" i="3" s="1"/>
  <c r="V72" i="3"/>
  <c r="B72" i="3" s="1" a="1"/>
  <c r="B72" i="3" s="1"/>
  <c r="V66" i="3"/>
  <c r="B66" i="3" s="1" a="1"/>
  <c r="B66" i="3" s="1"/>
  <c r="V42" i="3"/>
  <c r="B42" i="3" s="1" a="1"/>
  <c r="B42" i="3" s="1"/>
  <c r="V50" i="3"/>
  <c r="B50" i="3" s="1" a="1"/>
  <c r="B50" i="3" s="1"/>
  <c r="V62" i="3"/>
  <c r="B62" i="3" s="1" a="1"/>
  <c r="B62" i="3" s="1"/>
  <c r="V70" i="3"/>
  <c r="B70" i="3" s="1" a="1"/>
  <c r="B70" i="3" s="1"/>
  <c r="V71" i="3"/>
  <c r="B71" i="3" s="1" a="1"/>
  <c r="B71" i="3" s="1"/>
  <c r="V47" i="3"/>
  <c r="B47" i="3" s="1" a="1"/>
  <c r="B47" i="3" s="1"/>
  <c r="V45" i="3"/>
  <c r="B45" i="3" s="1" a="1"/>
  <c r="B45" i="3" s="1"/>
  <c r="V34" i="3"/>
  <c r="B34" i="3" s="1" a="1"/>
  <c r="B34" i="3" s="1"/>
  <c r="V38" i="3"/>
  <c r="B38" i="3" s="1" a="1"/>
  <c r="B38" i="3" s="1"/>
  <c r="V54" i="3"/>
  <c r="B54" i="3" s="1" a="1"/>
  <c r="B54" i="3" s="1"/>
  <c r="V69" i="3"/>
  <c r="B69" i="3" s="1" a="1"/>
  <c r="B69" i="3" s="1"/>
  <c r="V51" i="3"/>
  <c r="B51" i="3" s="1" a="1"/>
  <c r="B51" i="3" s="1"/>
  <c r="V37" i="3"/>
  <c r="B37" i="3" s="1" a="1"/>
  <c r="B37" i="3" s="1"/>
  <c r="V58" i="3"/>
  <c r="B58" i="3" s="1" a="1"/>
  <c r="B58" i="3" s="1"/>
  <c r="V35" i="3"/>
  <c r="B35" i="3" s="1" a="1"/>
  <c r="B35" i="3" s="1"/>
  <c r="V55" i="3"/>
  <c r="B55" i="3" s="1" a="1"/>
  <c r="B55" i="3" s="1"/>
  <c r="V61" i="3"/>
  <c r="B61" i="3" s="1" a="1"/>
  <c r="B61" i="3" s="1"/>
  <c r="V53" i="3"/>
  <c r="B53" i="3" s="1" a="1"/>
  <c r="B53" i="3" s="1"/>
  <c r="V28" i="3"/>
  <c r="B28" i="3" s="1" a="1"/>
  <c r="B28" i="3" s="1"/>
  <c r="D28" i="3" s="1"/>
  <c r="V46" i="3"/>
  <c r="B46" i="3" s="1" a="1"/>
  <c r="B46" i="3" s="1"/>
  <c r="D31" i="3" l="1"/>
  <c r="C31" i="3" s="1"/>
  <c r="G31" i="3"/>
  <c r="G71" i="3"/>
  <c r="D71" i="3"/>
  <c r="D65" i="3"/>
  <c r="G65" i="3"/>
  <c r="D39" i="3"/>
  <c r="G39" i="3"/>
  <c r="D36" i="3"/>
  <c r="C36" i="3" s="1"/>
  <c r="G36" i="3"/>
  <c r="D59" i="3"/>
  <c r="G59" i="3"/>
  <c r="D58" i="3"/>
  <c r="C58" i="3" s="1"/>
  <c r="G58" i="3"/>
  <c r="G50" i="3"/>
  <c r="D50" i="3"/>
  <c r="C50" i="3" s="1"/>
  <c r="D63" i="3"/>
  <c r="C63" i="3" s="1"/>
  <c r="G63" i="3"/>
  <c r="G52" i="3"/>
  <c r="D52" i="3"/>
  <c r="G37" i="3"/>
  <c r="D37" i="3"/>
  <c r="G42" i="3"/>
  <c r="D42" i="3"/>
  <c r="C42" i="3" s="1"/>
  <c r="G74" i="3"/>
  <c r="D74" i="3"/>
  <c r="C74" i="3" s="1"/>
  <c r="D57" i="3"/>
  <c r="C57" i="3" s="1"/>
  <c r="G57" i="3"/>
  <c r="D51" i="3"/>
  <c r="C51" i="3" s="1"/>
  <c r="G51" i="3"/>
  <c r="G66" i="3"/>
  <c r="D66" i="3"/>
  <c r="C66" i="3" s="1"/>
  <c r="G73" i="3"/>
  <c r="D73" i="3"/>
  <c r="C73" i="3" s="1"/>
  <c r="G76" i="3"/>
  <c r="D76" i="3"/>
  <c r="D53" i="3"/>
  <c r="C53" i="3" s="1"/>
  <c r="G53" i="3"/>
  <c r="G40" i="3"/>
  <c r="D40" i="3"/>
  <c r="C40" i="3" s="1"/>
  <c r="D77" i="3"/>
  <c r="C77" i="3" s="1"/>
  <c r="G77" i="3"/>
  <c r="G70" i="3"/>
  <c r="D70" i="3"/>
  <c r="C70" i="3" s="1"/>
  <c r="D60" i="3"/>
  <c r="C60" i="3" s="1"/>
  <c r="G60" i="3"/>
  <c r="D44" i="3"/>
  <c r="G44" i="3"/>
  <c r="D47" i="3"/>
  <c r="C47" i="3" s="1"/>
  <c r="G47" i="3"/>
  <c r="G61" i="3"/>
  <c r="D61" i="3"/>
  <c r="C61" i="3" s="1"/>
  <c r="G55" i="3"/>
  <c r="D55" i="3"/>
  <c r="C55" i="3" s="1"/>
  <c r="D32" i="3"/>
  <c r="C32" i="3" s="1"/>
  <c r="G32" i="3"/>
  <c r="G35" i="3"/>
  <c r="D35" i="3"/>
  <c r="G62" i="3"/>
  <c r="D62" i="3"/>
  <c r="C62" i="3" s="1"/>
  <c r="G69" i="3"/>
  <c r="D69" i="3"/>
  <c r="C69" i="3" s="1"/>
  <c r="D72" i="3"/>
  <c r="C72" i="3" s="1"/>
  <c r="G72" i="3"/>
  <c r="D68" i="3"/>
  <c r="C68" i="3" s="1"/>
  <c r="G68" i="3"/>
  <c r="G54" i="3"/>
  <c r="D54" i="3"/>
  <c r="D43" i="3"/>
  <c r="C43" i="3" s="1"/>
  <c r="G43" i="3"/>
  <c r="G33" i="3"/>
  <c r="D33" i="3"/>
  <c r="C33" i="3" s="1"/>
  <c r="D67" i="3"/>
  <c r="C67" i="3" s="1"/>
  <c r="G67" i="3"/>
  <c r="G38" i="3"/>
  <c r="D38" i="3"/>
  <c r="C38" i="3" s="1"/>
  <c r="D41" i="3"/>
  <c r="C41" i="3" s="1"/>
  <c r="G41" i="3"/>
  <c r="G64" i="3"/>
  <c r="D64" i="3"/>
  <c r="C64" i="3" s="1"/>
  <c r="G46" i="3"/>
  <c r="D46" i="3"/>
  <c r="C46" i="3" s="1"/>
  <c r="G34" i="3"/>
  <c r="D34" i="3"/>
  <c r="D48" i="3"/>
  <c r="C48" i="3" s="1"/>
  <c r="G48" i="3"/>
  <c r="G49" i="3"/>
  <c r="D49" i="3"/>
  <c r="C49" i="3" s="1"/>
  <c r="D75" i="3"/>
  <c r="C75" i="3" s="1"/>
  <c r="G75" i="3"/>
  <c r="G45" i="3"/>
  <c r="D45" i="3"/>
  <c r="D56" i="3"/>
  <c r="G56" i="3"/>
  <c r="G30" i="3"/>
  <c r="D30" i="3"/>
  <c r="D29" i="3"/>
  <c r="C29" i="3" s="1"/>
  <c r="G29" i="3"/>
  <c r="C28" i="3"/>
  <c r="G28" i="3"/>
  <c r="A49" i="3" l="1"/>
  <c r="A38" i="3"/>
  <c r="A37" i="3"/>
  <c r="A76" i="3"/>
  <c r="A45" i="3"/>
  <c r="A52" i="3"/>
  <c r="A59" i="3"/>
  <c r="A54" i="3"/>
  <c r="A39" i="3"/>
  <c r="A44" i="3"/>
  <c r="A73" i="3"/>
  <c r="A32" i="3"/>
  <c r="C52" i="3"/>
  <c r="A51" i="3"/>
  <c r="A65" i="3"/>
  <c r="A34" i="3"/>
  <c r="C44" i="3"/>
  <c r="A56" i="3"/>
  <c r="A62" i="3"/>
  <c r="A75" i="3"/>
  <c r="A77" i="3"/>
  <c r="A71" i="3"/>
  <c r="C71" i="3"/>
  <c r="C37" i="3"/>
  <c r="A35" i="3"/>
  <c r="C56" i="3"/>
  <c r="A29" i="3"/>
  <c r="K44" i="3"/>
  <c r="J44" i="3"/>
  <c r="H44" i="3"/>
  <c r="I44" i="3"/>
  <c r="L44" i="3"/>
  <c r="A58" i="3"/>
  <c r="K33" i="3"/>
  <c r="J33" i="3"/>
  <c r="H33" i="3"/>
  <c r="I33" i="3"/>
  <c r="L33" i="3"/>
  <c r="K62" i="3"/>
  <c r="J62" i="3"/>
  <c r="H62" i="3"/>
  <c r="I62" i="3"/>
  <c r="L62" i="3"/>
  <c r="K76" i="3"/>
  <c r="J76" i="3"/>
  <c r="I76" i="3"/>
  <c r="H76" i="3"/>
  <c r="L76" i="3"/>
  <c r="A46" i="3"/>
  <c r="C35" i="3"/>
  <c r="K43" i="3"/>
  <c r="J43" i="3"/>
  <c r="H43" i="3"/>
  <c r="L43" i="3"/>
  <c r="I43" i="3"/>
  <c r="K70" i="3"/>
  <c r="J70" i="3"/>
  <c r="I70" i="3"/>
  <c r="H70" i="3"/>
  <c r="L70" i="3"/>
  <c r="K66" i="3"/>
  <c r="J66" i="3"/>
  <c r="H66" i="3"/>
  <c r="I66" i="3"/>
  <c r="L66" i="3"/>
  <c r="K52" i="3"/>
  <c r="J52" i="3"/>
  <c r="H52" i="3"/>
  <c r="I52" i="3"/>
  <c r="L52" i="3"/>
  <c r="A47" i="3"/>
  <c r="A66" i="3"/>
  <c r="C65" i="3"/>
  <c r="C45" i="3"/>
  <c r="K75" i="3"/>
  <c r="I75" i="3"/>
  <c r="J75" i="3"/>
  <c r="H75" i="3"/>
  <c r="L75" i="3"/>
  <c r="K41" i="3"/>
  <c r="J41" i="3"/>
  <c r="H41" i="3"/>
  <c r="I41" i="3"/>
  <c r="L41" i="3"/>
  <c r="K68" i="3"/>
  <c r="I68" i="3"/>
  <c r="J68" i="3"/>
  <c r="H68" i="3"/>
  <c r="L68" i="3"/>
  <c r="K77" i="3"/>
  <c r="I77" i="3"/>
  <c r="J77" i="3"/>
  <c r="H77" i="3"/>
  <c r="L77" i="3"/>
  <c r="K51" i="3"/>
  <c r="J51" i="3"/>
  <c r="H51" i="3"/>
  <c r="L51" i="3"/>
  <c r="I51" i="3"/>
  <c r="K63" i="3"/>
  <c r="J63" i="3"/>
  <c r="H63" i="3"/>
  <c r="L63" i="3"/>
  <c r="I63" i="3"/>
  <c r="K65" i="3"/>
  <c r="J65" i="3"/>
  <c r="H65" i="3"/>
  <c r="I65" i="3"/>
  <c r="L65" i="3"/>
  <c r="K59" i="3"/>
  <c r="J59" i="3"/>
  <c r="H59" i="3"/>
  <c r="L59" i="3"/>
  <c r="I59" i="3"/>
  <c r="A67" i="3"/>
  <c r="K30" i="3"/>
  <c r="J30" i="3"/>
  <c r="H30" i="3"/>
  <c r="L30" i="3"/>
  <c r="I30" i="3"/>
  <c r="K42" i="3"/>
  <c r="J42" i="3"/>
  <c r="H42" i="3"/>
  <c r="L42" i="3"/>
  <c r="I42" i="3"/>
  <c r="A33" i="3"/>
  <c r="A60" i="3"/>
  <c r="K56" i="3"/>
  <c r="J56" i="3"/>
  <c r="H56" i="3"/>
  <c r="I56" i="3"/>
  <c r="L56" i="3"/>
  <c r="A69" i="3"/>
  <c r="A70" i="3"/>
  <c r="C59" i="3"/>
  <c r="K46" i="3"/>
  <c r="J46" i="3"/>
  <c r="H46" i="3"/>
  <c r="L46" i="3"/>
  <c r="I46" i="3"/>
  <c r="K35" i="3"/>
  <c r="J35" i="3"/>
  <c r="H35" i="3"/>
  <c r="L35" i="3"/>
  <c r="I35" i="3"/>
  <c r="K73" i="3"/>
  <c r="J73" i="3"/>
  <c r="I73" i="3"/>
  <c r="H73" i="3"/>
  <c r="L73" i="3"/>
  <c r="K37" i="3"/>
  <c r="J37" i="3"/>
  <c r="H37" i="3"/>
  <c r="L37" i="3"/>
  <c r="I37" i="3"/>
  <c r="A40" i="3"/>
  <c r="K32" i="3"/>
  <c r="J32" i="3"/>
  <c r="H32" i="3"/>
  <c r="I32" i="3"/>
  <c r="L32" i="3"/>
  <c r="A57" i="3"/>
  <c r="K64" i="3"/>
  <c r="J64" i="3"/>
  <c r="H64" i="3"/>
  <c r="I64" i="3"/>
  <c r="L64" i="3"/>
  <c r="A72" i="3"/>
  <c r="A28" i="3"/>
  <c r="C30" i="3"/>
  <c r="C34" i="3"/>
  <c r="K49" i="3"/>
  <c r="J49" i="3"/>
  <c r="H49" i="3"/>
  <c r="I49" i="3"/>
  <c r="L49" i="3"/>
  <c r="K38" i="3"/>
  <c r="J38" i="3"/>
  <c r="H38" i="3"/>
  <c r="L38" i="3"/>
  <c r="I38" i="3"/>
  <c r="K61" i="3"/>
  <c r="J61" i="3"/>
  <c r="H61" i="3"/>
  <c r="I61" i="3"/>
  <c r="L61" i="3"/>
  <c r="K40" i="3"/>
  <c r="J40" i="3"/>
  <c r="H40" i="3"/>
  <c r="L40" i="3"/>
  <c r="I40" i="3"/>
  <c r="K50" i="3"/>
  <c r="J50" i="3"/>
  <c r="H50" i="3"/>
  <c r="I50" i="3"/>
  <c r="L50" i="3"/>
  <c r="K71" i="3"/>
  <c r="I71" i="3"/>
  <c r="J71" i="3"/>
  <c r="H71" i="3"/>
  <c r="L71" i="3"/>
  <c r="A64" i="3"/>
  <c r="A55" i="3"/>
  <c r="K34" i="3"/>
  <c r="J34" i="3"/>
  <c r="H34" i="3"/>
  <c r="I34" i="3"/>
  <c r="L34" i="3"/>
  <c r="A31" i="3"/>
  <c r="A42" i="3"/>
  <c r="K39" i="3"/>
  <c r="J39" i="3"/>
  <c r="H39" i="3"/>
  <c r="L39" i="3"/>
  <c r="I39" i="3"/>
  <c r="A68" i="3"/>
  <c r="K54" i="3"/>
  <c r="J54" i="3"/>
  <c r="H54" i="3"/>
  <c r="L54" i="3"/>
  <c r="I54" i="3"/>
  <c r="A30" i="3"/>
  <c r="A36" i="3"/>
  <c r="A74" i="3"/>
  <c r="C54" i="3"/>
  <c r="C39" i="3"/>
  <c r="K55" i="3"/>
  <c r="J55" i="3"/>
  <c r="H55" i="3"/>
  <c r="L55" i="3"/>
  <c r="I55" i="3"/>
  <c r="A53" i="3"/>
  <c r="A41" i="3"/>
  <c r="C76" i="3"/>
  <c r="K72" i="3"/>
  <c r="I72" i="3"/>
  <c r="J72" i="3"/>
  <c r="H72" i="3"/>
  <c r="L72" i="3"/>
  <c r="K57" i="3"/>
  <c r="J57" i="3"/>
  <c r="H57" i="3"/>
  <c r="I57" i="3"/>
  <c r="L57" i="3"/>
  <c r="A61" i="3"/>
  <c r="K29" i="3"/>
  <c r="J29" i="3"/>
  <c r="H29" i="3"/>
  <c r="L29" i="3"/>
  <c r="I29" i="3"/>
  <c r="K48" i="3"/>
  <c r="J48" i="3"/>
  <c r="H48" i="3"/>
  <c r="I48" i="3"/>
  <c r="L48" i="3"/>
  <c r="K67" i="3"/>
  <c r="J67" i="3"/>
  <c r="H67" i="3"/>
  <c r="L67" i="3"/>
  <c r="I67" i="3"/>
  <c r="K47" i="3"/>
  <c r="J47" i="3"/>
  <c r="H47" i="3"/>
  <c r="L47" i="3"/>
  <c r="I47" i="3"/>
  <c r="K53" i="3"/>
  <c r="J53" i="3"/>
  <c r="H53" i="3"/>
  <c r="I53" i="3"/>
  <c r="L53" i="3"/>
  <c r="K58" i="3"/>
  <c r="J58" i="3"/>
  <c r="H58" i="3"/>
  <c r="I58" i="3"/>
  <c r="L58" i="3"/>
  <c r="K31" i="3"/>
  <c r="J31" i="3"/>
  <c r="H31" i="3"/>
  <c r="L31" i="3"/>
  <c r="I31" i="3"/>
  <c r="A43" i="3"/>
  <c r="A63" i="3"/>
  <c r="K60" i="3"/>
  <c r="J60" i="3"/>
  <c r="H60" i="3"/>
  <c r="I60" i="3"/>
  <c r="L60" i="3"/>
  <c r="K36" i="3"/>
  <c r="J36" i="3"/>
  <c r="H36" i="3"/>
  <c r="I36" i="3"/>
  <c r="L36" i="3"/>
  <c r="K28" i="3"/>
  <c r="J28" i="3"/>
  <c r="H28" i="3"/>
  <c r="L28" i="3"/>
  <c r="I28" i="3"/>
  <c r="K45" i="3"/>
  <c r="J45" i="3"/>
  <c r="H45" i="3"/>
  <c r="L45" i="3"/>
  <c r="I45" i="3"/>
  <c r="A50" i="3"/>
  <c r="A48" i="3"/>
  <c r="K69" i="3"/>
  <c r="I69" i="3"/>
  <c r="J69" i="3"/>
  <c r="H69" i="3"/>
  <c r="L69" i="3"/>
  <c r="K74" i="3"/>
  <c r="I74" i="3"/>
  <c r="J74" i="3"/>
  <c r="H74" i="3"/>
  <c r="L74" i="3"/>
  <c r="B81" i="3" l="1"/>
  <c r="D81" i="3" s="1"/>
  <c r="B82" i="3" s="1"/>
  <c r="D82" i="3" s="1"/>
  <c r="T31" i="3"/>
  <c r="T71" i="3"/>
  <c r="T69" i="3"/>
  <c r="T54" i="3"/>
  <c r="T42" i="3"/>
  <c r="T66" i="3"/>
  <c r="T33" i="3"/>
  <c r="T74" i="3"/>
  <c r="T51" i="3"/>
  <c r="T45" i="3"/>
  <c r="T30" i="3"/>
  <c r="T41" i="3"/>
  <c r="T60" i="3"/>
  <c r="T58" i="3"/>
  <c r="T39" i="3"/>
  <c r="T40" i="3"/>
  <c r="T64" i="3"/>
  <c r="T37" i="3"/>
  <c r="T77" i="3"/>
  <c r="T34" i="3"/>
  <c r="T47" i="3"/>
  <c r="T38" i="3"/>
  <c r="T56" i="3"/>
  <c r="T52" i="3"/>
  <c r="T28" i="3"/>
  <c r="T55" i="3"/>
  <c r="T35" i="3"/>
  <c r="T70" i="3"/>
  <c r="T72" i="3"/>
  <c r="T67" i="3"/>
  <c r="T49" i="3"/>
  <c r="T46" i="3"/>
  <c r="T63" i="3"/>
  <c r="T75" i="3"/>
  <c r="T44" i="3"/>
  <c r="T73" i="3"/>
  <c r="T43" i="3"/>
  <c r="T62" i="3"/>
  <c r="T32" i="3"/>
  <c r="T36" i="3"/>
  <c r="T57" i="3"/>
  <c r="T50" i="3"/>
  <c r="T48" i="3"/>
  <c r="T65" i="3"/>
  <c r="T76" i="3"/>
  <c r="T29" i="3"/>
  <c r="T53" i="3"/>
  <c r="T61" i="3"/>
  <c r="T59" i="3"/>
  <c r="T68" i="3"/>
  <c r="B95" i="3" l="1"/>
  <c r="F38" i="3"/>
  <c r="C81" i="3"/>
  <c r="F42" i="3"/>
  <c r="F59" i="3"/>
  <c r="F43" i="3"/>
  <c r="F44" i="3"/>
  <c r="F33" i="3"/>
  <c r="F50" i="3"/>
  <c r="F67" i="3"/>
  <c r="F37" i="3"/>
  <c r="F41" i="3"/>
  <c r="F57" i="3"/>
  <c r="F72" i="3"/>
  <c r="F64" i="3"/>
  <c r="F60" i="3"/>
  <c r="F70" i="3"/>
  <c r="F30" i="3"/>
  <c r="F40" i="3"/>
  <c r="F32" i="3"/>
  <c r="F39" i="3"/>
  <c r="F68" i="3"/>
  <c r="F55" i="3"/>
  <c r="F75" i="3"/>
  <c r="F29" i="3"/>
  <c r="F45" i="3"/>
  <c r="F35" i="3"/>
  <c r="F58" i="3"/>
  <c r="F62" i="3"/>
  <c r="F74" i="3"/>
  <c r="F51" i="3"/>
  <c r="F31" i="3"/>
  <c r="F52" i="3"/>
  <c r="F56" i="3"/>
  <c r="F49" i="3"/>
  <c r="F46" i="3"/>
  <c r="F77" i="3"/>
  <c r="F66" i="3"/>
  <c r="F34" i="3"/>
  <c r="F73" i="3"/>
  <c r="F54" i="3"/>
  <c r="F36" i="3"/>
  <c r="F61" i="3"/>
  <c r="F76" i="3"/>
  <c r="F28" i="3"/>
  <c r="F65" i="3"/>
  <c r="F48" i="3"/>
  <c r="F69" i="3"/>
  <c r="F53" i="3"/>
  <c r="F47" i="3"/>
  <c r="F63" i="3"/>
  <c r="F71" i="3"/>
  <c r="C82" i="3"/>
  <c r="B83" i="3"/>
  <c r="D83" i="3" s="1"/>
  <c r="B96" i="3" l="1"/>
  <c r="B97" i="3" s="1"/>
  <c r="G81" i="3"/>
  <c r="S81" i="3" s="1"/>
  <c r="C83" i="3"/>
  <c r="B84" i="3"/>
  <c r="D84" i="3" s="1"/>
  <c r="C97" i="3" l="1"/>
  <c r="N81" i="3"/>
  <c r="O81" i="3"/>
  <c r="M81" i="3"/>
  <c r="P81" i="3"/>
  <c r="R81" i="3"/>
  <c r="Q81" i="3"/>
  <c r="D97" i="3"/>
  <c r="B98" i="3"/>
  <c r="D98" i="3"/>
  <c r="J81" i="3"/>
  <c r="G95" i="3"/>
  <c r="I81" i="3"/>
  <c r="K81" i="3"/>
  <c r="H81" i="3"/>
  <c r="L81" i="3"/>
  <c r="C84" i="3"/>
  <c r="C98" i="3" s="1"/>
  <c r="B85" i="3"/>
  <c r="D85" i="3" s="1"/>
  <c r="B99" i="3" l="1"/>
  <c r="T81" i="3"/>
  <c r="G82" i="3" s="1"/>
  <c r="K82" i="3" s="1"/>
  <c r="C85" i="3"/>
  <c r="B86" i="3"/>
  <c r="D86" i="3" s="1"/>
  <c r="P82" i="3" l="1"/>
  <c r="P96" i="3" s="1"/>
  <c r="S82" i="3"/>
  <c r="S96" i="3" s="1"/>
  <c r="N82" i="3"/>
  <c r="N96" i="3" s="1"/>
  <c r="Q82" i="3"/>
  <c r="Q96" i="3" s="1"/>
  <c r="R82" i="3"/>
  <c r="R96" i="3" s="1"/>
  <c r="M82" i="3"/>
  <c r="M96" i="3" s="1"/>
  <c r="O82" i="3"/>
  <c r="O96" i="3" s="1"/>
  <c r="B100" i="3"/>
  <c r="H82" i="3"/>
  <c r="H96" i="3" s="1"/>
  <c r="G96" i="3"/>
  <c r="J82" i="3"/>
  <c r="J96" i="3" s="1"/>
  <c r="I82" i="3"/>
  <c r="I96" i="3" s="1"/>
  <c r="L82" i="3"/>
  <c r="C86" i="3"/>
  <c r="B87" i="3"/>
  <c r="D87" i="3" s="1"/>
  <c r="K96" i="3"/>
  <c r="B101" i="3" l="1"/>
  <c r="D101" i="3"/>
  <c r="T82" i="3"/>
  <c r="G83" i="3" s="1"/>
  <c r="P83" i="3" s="1"/>
  <c r="L96" i="3"/>
  <c r="C87" i="3"/>
  <c r="C101" i="3" s="1"/>
  <c r="B88" i="3"/>
  <c r="D88" i="3" s="1"/>
  <c r="N83" i="3" l="1"/>
  <c r="N97" i="3" s="1"/>
  <c r="M83" i="3"/>
  <c r="M97" i="3" s="1"/>
  <c r="O83" i="3"/>
  <c r="O97" i="3" s="1"/>
  <c r="R83" i="3"/>
  <c r="R97" i="3" s="1"/>
  <c r="Q83" i="3"/>
  <c r="Q97" i="3" s="1"/>
  <c r="T96" i="3"/>
  <c r="B102" i="3"/>
  <c r="S83" i="3"/>
  <c r="S97" i="3" s="1"/>
  <c r="J83" i="3"/>
  <c r="J97" i="3" s="1"/>
  <c r="I83" i="3"/>
  <c r="I97" i="3" s="1"/>
  <c r="G97" i="3"/>
  <c r="K83" i="3"/>
  <c r="K97" i="3" s="1"/>
  <c r="P97" i="3"/>
  <c r="L83" i="3"/>
  <c r="L97" i="3" s="1"/>
  <c r="H83" i="3"/>
  <c r="C88" i="3"/>
  <c r="B89" i="3"/>
  <c r="D89" i="3" s="1"/>
  <c r="B103" i="3" l="1"/>
  <c r="T83" i="3"/>
  <c r="G84" i="3" s="1"/>
  <c r="G98" i="3" s="1"/>
  <c r="H97" i="3"/>
  <c r="C89" i="3"/>
  <c r="B90" i="3"/>
  <c r="D90" i="3" s="1"/>
  <c r="R84" i="3" l="1"/>
  <c r="R98" i="3" s="1"/>
  <c r="P84" i="3"/>
  <c r="P98" i="3" s="1"/>
  <c r="M84" i="3"/>
  <c r="M98" i="3" s="1"/>
  <c r="O84" i="3"/>
  <c r="O98" i="3" s="1"/>
  <c r="N84" i="3"/>
  <c r="N98" i="3" s="1"/>
  <c r="Q84" i="3"/>
  <c r="Q98" i="3" s="1"/>
  <c r="S84" i="3"/>
  <c r="S98" i="3" s="1"/>
  <c r="K84" i="3"/>
  <c r="K98" i="3" s="1"/>
  <c r="I84" i="3"/>
  <c r="I98" i="3" s="1"/>
  <c r="J84" i="3"/>
  <c r="J98" i="3" s="1"/>
  <c r="H84" i="3"/>
  <c r="H98" i="3" s="1"/>
  <c r="L84" i="3"/>
  <c r="L98" i="3" s="1"/>
  <c r="T97" i="3"/>
  <c r="B104" i="3"/>
  <c r="C90" i="3"/>
  <c r="D91" i="3"/>
  <c r="D103" i="3" s="1"/>
  <c r="D104" i="3" l="1"/>
  <c r="D100" i="3"/>
  <c r="D96" i="3"/>
  <c r="D102" i="3"/>
  <c r="D99" i="3"/>
  <c r="T84" i="3"/>
  <c r="T98" i="3" s="1"/>
  <c r="B105" i="3"/>
  <c r="D105" i="3"/>
  <c r="C91" i="3"/>
  <c r="C103" i="3" s="1"/>
  <c r="D95" i="3"/>
  <c r="C104" i="3" l="1"/>
  <c r="C100" i="3"/>
  <c r="C96" i="3"/>
  <c r="C105" i="3"/>
  <c r="G85" i="3"/>
  <c r="S85" i="3" s="1"/>
  <c r="C102" i="3"/>
  <c r="C99" i="3"/>
  <c r="C95" i="3"/>
  <c r="M85" i="3" l="1"/>
  <c r="M99" i="3" s="1"/>
  <c r="O85" i="3"/>
  <c r="P85" i="3"/>
  <c r="P99" i="3" s="1"/>
  <c r="L85" i="3"/>
  <c r="L99" i="3" s="1"/>
  <c r="K85" i="3"/>
  <c r="K99" i="3" s="1"/>
  <c r="Q85" i="3"/>
  <c r="Q99" i="3" s="1"/>
  <c r="N85" i="3"/>
  <c r="N99" i="3" s="1"/>
  <c r="R85" i="3"/>
  <c r="R99" i="3" s="1"/>
  <c r="J85" i="3"/>
  <c r="J99" i="3" s="1"/>
  <c r="O99" i="3"/>
  <c r="I85" i="3"/>
  <c r="I99" i="3" s="1"/>
  <c r="G99" i="3"/>
  <c r="S99" i="3"/>
  <c r="H85" i="3"/>
  <c r="H99" i="3" s="1"/>
  <c r="T85" i="3" l="1"/>
  <c r="G86" i="3" s="1"/>
  <c r="R86" i="3" s="1"/>
  <c r="J86" i="3" l="1"/>
  <c r="J100" i="3" s="1"/>
  <c r="M86" i="3"/>
  <c r="M100" i="3" s="1"/>
  <c r="K86" i="3"/>
  <c r="K100" i="3" s="1"/>
  <c r="L86" i="3"/>
  <c r="L100" i="3" s="1"/>
  <c r="S86" i="3"/>
  <c r="S100" i="3" s="1"/>
  <c r="P86" i="3"/>
  <c r="P100" i="3" s="1"/>
  <c r="Q86" i="3"/>
  <c r="Q100" i="3" s="1"/>
  <c r="N86" i="3"/>
  <c r="N100" i="3" s="1"/>
  <c r="O86" i="3"/>
  <c r="O100" i="3" s="1"/>
  <c r="H86" i="3"/>
  <c r="H100" i="3" s="1"/>
  <c r="G100" i="3"/>
  <c r="I86" i="3"/>
  <c r="I100" i="3" s="1"/>
  <c r="T99" i="3"/>
  <c r="R100" i="3"/>
  <c r="T86" i="3" l="1"/>
  <c r="G87" i="3" s="1"/>
  <c r="Q87" i="3" s="1"/>
  <c r="K87" i="3" l="1"/>
  <c r="N87" i="3"/>
  <c r="N101" i="3" s="1"/>
  <c r="Q101" i="3"/>
  <c r="L87" i="3"/>
  <c r="J87" i="3"/>
  <c r="G101" i="3"/>
  <c r="H87" i="3"/>
  <c r="S87" i="3"/>
  <c r="S101" i="3" s="1"/>
  <c r="T100" i="3"/>
  <c r="R87" i="3"/>
  <c r="R101" i="3" s="1"/>
  <c r="O87" i="3"/>
  <c r="O101" i="3" s="1"/>
  <c r="P87" i="3"/>
  <c r="P101" i="3" s="1"/>
  <c r="M87" i="3"/>
  <c r="M101" i="3" s="1"/>
  <c r="I87" i="3"/>
  <c r="T87" i="3" l="1"/>
  <c r="G88" i="3" s="1"/>
  <c r="L88" i="3" s="1"/>
  <c r="L102" i="3" s="1"/>
  <c r="I88" i="3" l="1"/>
  <c r="I102" i="3" s="1"/>
  <c r="J88" i="3"/>
  <c r="J102" i="3" s="1"/>
  <c r="G102" i="3"/>
  <c r="R88" i="3"/>
  <c r="R102" i="3" s="1"/>
  <c r="S88" i="3"/>
  <c r="S102" i="3" s="1"/>
  <c r="P88" i="3"/>
  <c r="P102" i="3" s="1"/>
  <c r="Q88" i="3"/>
  <c r="Q102" i="3" s="1"/>
  <c r="N88" i="3"/>
  <c r="N102" i="3" s="1"/>
  <c r="O88" i="3"/>
  <c r="O102" i="3" s="1"/>
  <c r="M88" i="3"/>
  <c r="M102" i="3" s="1"/>
  <c r="H88" i="3"/>
  <c r="H102" i="3" s="1"/>
  <c r="K88" i="3"/>
  <c r="K102" i="3" s="1"/>
  <c r="T88" i="3" l="1"/>
  <c r="G89" i="3" s="1"/>
  <c r="H89" i="3" s="1"/>
  <c r="S89" i="3"/>
  <c r="T102" i="3" l="1"/>
  <c r="G103" i="3"/>
  <c r="I89" i="3"/>
  <c r="R89" i="3"/>
  <c r="P89" i="3"/>
  <c r="Q89" i="3"/>
  <c r="N89" i="3"/>
  <c r="M89" i="3"/>
  <c r="O89" i="3"/>
  <c r="J89" i="3"/>
  <c r="K89" i="3"/>
  <c r="L89" i="3"/>
  <c r="S103" i="3"/>
  <c r="T89" i="3" l="1"/>
  <c r="G90" i="3" s="1"/>
  <c r="K103" i="3"/>
  <c r="L103" i="3"/>
  <c r="M103" i="3"/>
  <c r="Q103" i="3"/>
  <c r="N103" i="3"/>
  <c r="P103" i="3"/>
  <c r="J103" i="3"/>
  <c r="I103" i="3"/>
  <c r="T101" i="3"/>
  <c r="S90" i="3" l="1"/>
  <c r="S91" i="3" s="1"/>
  <c r="S95" i="3" s="1"/>
  <c r="J90" i="3"/>
  <c r="J91" i="3" s="1"/>
  <c r="Q90" i="3"/>
  <c r="Q91" i="3" s="1"/>
  <c r="R90" i="3"/>
  <c r="P90" i="3"/>
  <c r="N90" i="3"/>
  <c r="L90" i="3"/>
  <c r="O90" i="3"/>
  <c r="O91" i="3" s="1"/>
  <c r="M90" i="3"/>
  <c r="K90" i="3"/>
  <c r="G104" i="3"/>
  <c r="I90" i="3"/>
  <c r="I91" i="3" s="1"/>
  <c r="H90" i="3"/>
  <c r="H101" i="3"/>
  <c r="H103" i="3"/>
  <c r="T103" i="3"/>
  <c r="S104" i="3" l="1"/>
  <c r="Q104" i="3"/>
  <c r="Q95" i="3"/>
  <c r="J101" i="3"/>
  <c r="J95" i="3"/>
  <c r="O103" i="3"/>
  <c r="O95" i="3"/>
  <c r="I101" i="3"/>
  <c r="I95" i="3"/>
  <c r="R91" i="3"/>
  <c r="R105" i="3" s="1"/>
  <c r="R104" i="3"/>
  <c r="P91" i="3"/>
  <c r="P95" i="3" s="1"/>
  <c r="P104" i="3"/>
  <c r="L91" i="3"/>
  <c r="L104" i="3"/>
  <c r="T90" i="3"/>
  <c r="H91" i="3"/>
  <c r="H95" i="3" s="1"/>
  <c r="I105" i="3"/>
  <c r="O105" i="3"/>
  <c r="S105" i="3"/>
  <c r="J105" i="3"/>
  <c r="Q105" i="3"/>
  <c r="G105" i="3"/>
  <c r="J104" i="3"/>
  <c r="N91" i="3"/>
  <c r="N104" i="3" s="1"/>
  <c r="K91" i="3"/>
  <c r="K104" i="3"/>
  <c r="I104" i="3"/>
  <c r="M91" i="3"/>
  <c r="M104" i="3"/>
  <c r="O104" i="3"/>
  <c r="H104" i="3" l="1"/>
  <c r="P105" i="3"/>
  <c r="M105" i="3"/>
  <c r="M95" i="3"/>
  <c r="K101" i="3"/>
  <c r="K95" i="3"/>
  <c r="R103" i="3"/>
  <c r="R95" i="3"/>
  <c r="N105" i="3"/>
  <c r="N95" i="3"/>
  <c r="L101" i="3"/>
  <c r="L95" i="3"/>
  <c r="T91" i="3"/>
  <c r="T95" i="3" s="1"/>
  <c r="H105" i="3"/>
  <c r="K105" i="3"/>
  <c r="L105" i="3"/>
  <c r="T104" i="3" l="1"/>
  <c r="T105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<sst xmlns="http://schemas.openxmlformats.org/spreadsheetml/2006/main" count="355" uniqueCount="117">
  <si>
    <t>月</t>
  </si>
  <si>
    <t>【資産の状況】</t>
  </si>
  <si>
    <t>口座残高</t>
  </si>
  <si>
    <t>【家計の状況】</t>
  </si>
  <si>
    <t>です。</t>
  </si>
  <si>
    <t>◆口座残高</t>
  </si>
  <si>
    <t>種別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</si>
  <si>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</si>
  <si>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</si>
  <si>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</si>
  <si>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</si>
  <si>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</si>
  <si>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</si>
  <si>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</si>
  <si>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</si>
  <si>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</si>
  <si>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</si>
  <si>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</si>
  <si>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</si>
  <si>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備考</t>
  </si>
  <si>
    <t>-</t>
  </si>
  <si>
    <t>総資産</t>
  </si>
  <si>
    <t>現預金</t>
  </si>
  <si>
    <t>◆家計簿</t>
  </si>
  <si>
    <t>年合計</t>
  </si>
  <si>
    <t>収入</t>
  </si>
  <si>
    <t>賞与</t>
  </si>
  <si>
    <t>給与</t>
  </si>
  <si>
    <t>支出</t>
  </si>
  <si>
    <t>交通費</t>
  </si>
  <si>
    <t>日用品</t>
  </si>
  <si>
    <t>住宅</t>
  </si>
  <si>
    <t>家賃</t>
  </si>
  <si>
    <t>iDeCo</t>
  </si>
  <si>
    <t>食費</t>
  </si>
  <si>
    <t>衣服・美容</t>
  </si>
  <si>
    <t>外食</t>
  </si>
  <si>
    <t>その他</t>
  </si>
  <si>
    <t>〇〇銀行</t>
  </si>
  <si>
    <t>投資信託</t>
  </si>
  <si>
    <t>NISA</t>
  </si>
  <si>
    <t>年金</t>
  </si>
  <si>
    <t>株式</t>
  </si>
  <si>
    <t>〇〇証券</t>
  </si>
  <si>
    <t>特定口座</t>
  </si>
  <si>
    <t>負債</t>
  </si>
  <si>
    <t>奨学金</t>
  </si>
  <si>
    <t>〇〇カード</t>
  </si>
  <si>
    <t>クレジットカード</t>
  </si>
  <si>
    <t>父 給与</t>
  </si>
  <si>
    <t>父 賞与</t>
  </si>
  <si>
    <t>母 給与</t>
  </si>
  <si>
    <t>保証料</t>
  </si>
  <si>
    <t>水道・光熱費</t>
  </si>
  <si>
    <t>電気代</t>
  </si>
  <si>
    <t>〇〇電力</t>
  </si>
  <si>
    <t>ガス代</t>
  </si>
  <si>
    <t>〇〇ガス</t>
  </si>
  <si>
    <t>水道代</t>
  </si>
  <si>
    <t>通信費</t>
  </si>
  <si>
    <t>携帯電話</t>
  </si>
  <si>
    <t>2台分</t>
  </si>
  <si>
    <t>インターネット</t>
  </si>
  <si>
    <t>自宅</t>
  </si>
  <si>
    <t>保険</t>
  </si>
  <si>
    <t>生命保険</t>
  </si>
  <si>
    <t>教養・教育</t>
  </si>
  <si>
    <t>書籍</t>
  </si>
  <si>
    <t>学費</t>
  </si>
  <si>
    <t>食料品</t>
  </si>
  <si>
    <t>日用雑貨</t>
  </si>
  <si>
    <t>交際費</t>
  </si>
  <si>
    <t>プレゼント代</t>
  </si>
  <si>
    <t>冠婚葬祭</t>
  </si>
  <si>
    <t>電車</t>
  </si>
  <si>
    <t>タクシー</t>
  </si>
  <si>
    <t>飛行機</t>
  </si>
  <si>
    <t>衣服</t>
  </si>
  <si>
    <t>美容院</t>
  </si>
  <si>
    <t>化粧品</t>
  </si>
  <si>
    <t>健康・医療</t>
  </si>
  <si>
    <t>医療費</t>
  </si>
  <si>
    <t>薬</t>
  </si>
  <si>
    <t>特別費</t>
  </si>
  <si>
    <t>家具・家電</t>
  </si>
  <si>
    <t>使途不明金</t>
  </si>
  <si>
    <t>資産</t>
  </si>
  <si>
    <t>昨年末</t>
  </si>
  <si>
    <t>前月</t>
  </si>
  <si>
    <t>増加分</t>
  </si>
  <si>
    <t>◆資産一覧</t>
  </si>
  <si>
    <t>◆月推移－グラフ用</t>
  </si>
  <si>
    <t>ラベル</t>
  </si>
  <si>
    <t>金額</t>
  </si>
  <si>
    <t>◆今月の収支</t>
  </si>
  <si>
    <t>◆各月の収支－グラフ用</t>
  </si>
  <si>
    <t>単位：万円</t>
  </si>
  <si>
    <t>項目</t>
  </si>
  <si>
    <t>収支</t>
  </si>
  <si>
    <t>貯蓄率</t>
  </si>
  <si>
    <t>◆今月の支出</t>
  </si>
  <si>
    <t>◆支出の増減</t>
  </si>
  <si>
    <t>順位</t>
  </si>
  <si>
    <t>◆今月の収支（抜粋）</t>
  </si>
  <si>
    <t>◆支出の増減（抜粋）</t>
  </si>
  <si>
    <t>◆今月の収支（抜粋、空欄詰め）</t>
  </si>
  <si>
    <t>◆支出の増減（抜粋、空欄詰め）</t>
  </si>
  <si>
    <t>◆口座別</t>
  </si>
  <si>
    <t>行数</t>
    <rPh sb="0" eb="2">
      <t>ギョウスウ</t>
    </rPh>
    <phoneticPr fontId="10"/>
  </si>
  <si>
    <t xml:space="preserve">その他 </t>
    <phoneticPr fontId="10"/>
  </si>
  <si>
    <t>純資産額</t>
    <rPh sb="0" eb="3">
      <t>ジュンシサン</t>
    </rPh>
    <phoneticPr fontId="10"/>
  </si>
  <si>
    <t>月平均</t>
    <rPh sb="0" eb="3">
      <t>ツキヘイキン</t>
    </rPh>
    <phoneticPr fontId="10"/>
  </si>
  <si>
    <t>2025年</t>
    <phoneticPr fontId="10"/>
  </si>
  <si>
    <t>2024年末</t>
    <phoneticPr fontId="10"/>
  </si>
  <si>
    <t>夫 給与</t>
    <rPh sb="0" eb="1">
      <t>オット</t>
    </rPh>
    <phoneticPr fontId="10"/>
  </si>
  <si>
    <t>夫 賞与</t>
    <rPh sb="0" eb="1">
      <t>オット</t>
    </rPh>
    <phoneticPr fontId="10"/>
  </si>
  <si>
    <t>妻 給与</t>
    <rPh sb="0" eb="1">
      <t>ツマ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</si>
</sst>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&quot;年&quot;"/>
    <numFmt numFmtId="178" formatCode="General\ \ \ "/>
    <numFmt numFmtId="179" formatCode="&quot;+&quot;#,##0;[Red]\-#,##0"/>
    <numFmt numFmtId="180" formatCode="0.0%;[Red]\-0.0%"/>
  </numFmts>
  <fonts count="26" x14ac:knownFonts="1">
    <font>
      <sz val="9"/>
      <color theme="1"/>
      <name val="游ゴシック"/>
      <charset val="128"/>
      <scheme val="minor"/>
    </font>
    <font>
      <sz val="9"/>
      <color theme="1"/>
      <name val="メイリオ"/>
      <family val="3"/>
      <charset val="128"/>
    </font>
    <font>
      <b/>
      <sz val="9"/>
      <color rgb="FF4D71BD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b/>
      <sz val="10"/>
      <color rgb="FFFFFFFF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 tint="0.249977111117893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sz val="9"/>
      <color rgb="FFD9D9D9"/>
      <name val="メイリオ"/>
      <family val="3"/>
      <charset val="128"/>
    </font>
    <font>
      <b/>
      <sz val="9"/>
      <color theme="1" tint="0.34998626667073579"/>
      <name val="メイリオ"/>
      <family val="3"/>
      <charset val="128"/>
    </font>
    <font>
      <sz val="8"/>
      <color theme="1" tint="0.34998626667073579"/>
      <name val="メイリオ"/>
      <family val="3"/>
      <charset val="128"/>
    </font>
    <font>
      <sz val="7"/>
      <color theme="1" tint="0.34998626667073579"/>
      <name val="メイリオ"/>
      <family val="3"/>
      <charset val="128"/>
    </font>
    <font>
      <sz val="8"/>
      <color rgb="FFC0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0"/>
      <color rgb="FFFFFFFF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2CE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D7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7E6E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2CEE8"/>
      </top>
      <bottom style="hair">
        <color rgb="FFC2CEE8"/>
      </bottom>
      <diagonal/>
    </border>
    <border>
      <left/>
      <right/>
      <top style="hair">
        <color rgb="FFC2CEE8"/>
      </top>
      <bottom style="hair">
        <color rgb="FFC2CEE8"/>
      </bottom>
      <diagonal/>
    </border>
    <border>
      <left/>
      <right/>
      <top style="hair">
        <color rgb="FFC2CEE8"/>
      </top>
      <bottom style="thin">
        <color rgb="FFC2CEE8"/>
      </bottom>
      <diagonal/>
    </border>
    <border>
      <left/>
      <right/>
      <top style="hair">
        <color rgb="FFC2CEE8"/>
      </top>
      <bottom/>
      <diagonal/>
    </border>
    <border>
      <left/>
      <right/>
      <top style="thin">
        <color rgb="FFC2CEE8"/>
      </top>
      <bottom/>
      <diagonal/>
    </border>
    <border>
      <left/>
      <right/>
      <top/>
      <bottom style="hair">
        <color rgb="FFC2CEE8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38" fontId="1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1" fillId="0" borderId="0" xfId="2" applyNumberFormat="1" applyFont="1">
      <alignment vertical="center"/>
    </xf>
    <xf numFmtId="38" fontId="3" fillId="0" borderId="0" xfId="1" applyFont="1">
      <alignment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>
      <alignment vertical="center"/>
    </xf>
    <xf numFmtId="38" fontId="1" fillId="3" borderId="0" xfId="0" applyNumberFormat="1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5" fontId="7" fillId="4" borderId="0" xfId="0" applyNumberFormat="1" applyFont="1" applyFill="1" applyAlignment="1" applyProtection="1">
      <alignment horizontal="right"/>
      <protection hidden="1"/>
    </xf>
    <xf numFmtId="55" fontId="7" fillId="4" borderId="0" xfId="0" applyNumberFormat="1" applyFont="1" applyFill="1" applyAlignment="1" applyProtection="1">
      <alignment horizontal="left"/>
      <protection hidden="1"/>
    </xf>
    <xf numFmtId="55" fontId="8" fillId="4" borderId="0" xfId="0" applyNumberFormat="1" applyFont="1" applyFill="1" applyAlignment="1" applyProtection="1">
      <alignment horizontal="right"/>
      <protection hidden="1"/>
    </xf>
    <xf numFmtId="0" fontId="5" fillId="0" borderId="0" xfId="0" applyFont="1" applyProtection="1">
      <alignment vertical="center"/>
      <protection hidden="1"/>
    </xf>
    <xf numFmtId="38" fontId="6" fillId="0" borderId="0" xfId="0" applyNumberFormat="1" applyFo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38" fontId="5" fillId="5" borderId="2" xfId="1" applyFont="1" applyFill="1" applyBorder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38" fontId="6" fillId="0" borderId="2" xfId="1" applyFont="1" applyBorder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38" fontId="6" fillId="0" borderId="3" xfId="1" applyFont="1" applyBorder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Continuous" vertical="center"/>
      <protection hidden="1"/>
    </xf>
    <xf numFmtId="0" fontId="5" fillId="5" borderId="2" xfId="0" applyFont="1" applyFill="1" applyBorder="1" applyAlignment="1" applyProtection="1">
      <alignment horizontal="centerContinuous" vertical="center"/>
      <protection hidden="1"/>
    </xf>
    <xf numFmtId="0" fontId="6" fillId="0" borderId="2" xfId="0" applyFont="1" applyBorder="1" applyAlignment="1" applyProtection="1">
      <alignment horizontal="centerContinuous" vertical="center"/>
      <protection hidden="1"/>
    </xf>
    <xf numFmtId="0" fontId="6" fillId="0" borderId="3" xfId="0" applyFont="1" applyBorder="1" applyAlignment="1" applyProtection="1">
      <alignment horizontal="centerContinuous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38" fontId="6" fillId="0" borderId="4" xfId="1" applyFont="1" applyBorder="1" applyProtection="1">
      <alignment vertical="center"/>
      <protection hidden="1"/>
    </xf>
    <xf numFmtId="38" fontId="6" fillId="0" borderId="3" xfId="1" applyFont="1" applyBorder="1" applyAlignment="1" applyProtection="1">
      <alignment horizontal="centerContinuous" vertical="center"/>
      <protection hidden="1"/>
    </xf>
    <xf numFmtId="38" fontId="5" fillId="5" borderId="2" xfId="1" applyFont="1" applyFill="1" applyBorder="1" applyAlignment="1" applyProtection="1">
      <alignment horizontal="centerContinuous" vertical="center"/>
      <protection hidden="1"/>
    </xf>
    <xf numFmtId="38" fontId="6" fillId="0" borderId="2" xfId="1" applyFont="1" applyBorder="1" applyAlignment="1" applyProtection="1">
      <alignment horizontal="centerContinuous" vertical="center"/>
      <protection hidden="1"/>
    </xf>
    <xf numFmtId="38" fontId="5" fillId="5" borderId="2" xfId="1" applyFont="1" applyFill="1" applyBorder="1" applyAlignment="1" applyProtection="1">
      <alignment horizontal="center" vertical="center"/>
      <protection hidden="1"/>
    </xf>
    <xf numFmtId="38" fontId="6" fillId="0" borderId="2" xfId="1" applyFont="1" applyBorder="1" applyAlignment="1" applyProtection="1">
      <alignment horizontal="center" vertical="center"/>
      <protection hidden="1"/>
    </xf>
    <xf numFmtId="38" fontId="6" fillId="0" borderId="3" xfId="1" applyFont="1" applyBorder="1" applyAlignment="1" applyProtection="1">
      <alignment horizontal="center" vertical="center"/>
      <protection hidden="1"/>
    </xf>
    <xf numFmtId="38" fontId="6" fillId="0" borderId="4" xfId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 hidden="1"/>
    </xf>
    <xf numFmtId="0" fontId="12" fillId="0" borderId="0" xfId="0" applyFo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8" fontId="13" fillId="5" borderId="2" xfId="1" applyFont="1" applyFill="1" applyBorder="1" applyAlignment="1" applyProtection="1">
      <alignment horizontal="centerContinuous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178" fontId="15" fillId="4" borderId="0" xfId="0" applyNumberFormat="1" applyFont="1" applyFill="1" applyAlignment="1" applyProtection="1">
      <protection locked="0"/>
    </xf>
    <xf numFmtId="55" fontId="14" fillId="4" borderId="0" xfId="0" applyNumberFormat="1" applyFont="1" applyFill="1" applyAlignment="1" applyProtection="1">
      <alignment horizontal="left"/>
      <protection hidden="1"/>
    </xf>
    <xf numFmtId="0" fontId="12" fillId="4" borderId="0" xfId="0" applyFont="1" applyFill="1" applyProtection="1">
      <alignment vertical="center"/>
      <protection hidden="1"/>
    </xf>
    <xf numFmtId="0" fontId="16" fillId="6" borderId="0" xfId="0" applyFont="1" applyFill="1" applyProtection="1">
      <alignment vertical="center"/>
      <protection hidden="1"/>
    </xf>
    <xf numFmtId="0" fontId="14" fillId="6" borderId="0" xfId="0" applyFont="1" applyFill="1" applyProtection="1">
      <alignment vertical="center"/>
      <protection hidden="1"/>
    </xf>
    <xf numFmtId="0" fontId="12" fillId="7" borderId="0" xfId="0" applyFont="1" applyFill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38" fontId="18" fillId="0" borderId="6" xfId="0" applyNumberFormat="1" applyFont="1" applyBorder="1" applyProtection="1">
      <alignment vertical="center"/>
      <protection hidden="1"/>
    </xf>
    <xf numFmtId="38" fontId="19" fillId="0" borderId="5" xfId="0" applyNumberFormat="1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38" fontId="18" fillId="0" borderId="2" xfId="0" applyNumberFormat="1" applyFont="1" applyBorder="1" applyProtection="1">
      <alignment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7" borderId="0" xfId="0" applyFont="1" applyFill="1" applyAlignment="1" applyProtection="1">
      <alignment horizontal="center" vertical="center"/>
      <protection hidden="1"/>
    </xf>
    <xf numFmtId="0" fontId="18" fillId="7" borderId="0" xfId="0" applyFont="1" applyFill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80" fontId="17" fillId="7" borderId="0" xfId="2" applyNumberFormat="1" applyFont="1" applyFill="1" applyAlignment="1" applyProtection="1">
      <alignment vertical="center"/>
      <protection hidden="1"/>
    </xf>
    <xf numFmtId="55" fontId="22" fillId="4" borderId="0" xfId="0" applyNumberFormat="1" applyFont="1" applyFill="1" applyAlignment="1" applyProtection="1">
      <alignment horizontal="right"/>
      <protection locked="0"/>
    </xf>
    <xf numFmtId="177" fontId="22" fillId="4" borderId="0" xfId="0" applyNumberFormat="1" applyFont="1" applyFill="1" applyAlignment="1" applyProtection="1">
      <alignment horizontal="left"/>
      <protection locked="0"/>
    </xf>
    <xf numFmtId="55" fontId="14" fillId="4" borderId="0" xfId="0" applyNumberFormat="1" applyFont="1" applyFill="1" applyAlignment="1" applyProtection="1">
      <alignment horizontal="right"/>
      <protection locked="0"/>
    </xf>
    <xf numFmtId="0" fontId="11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>
      <alignment horizontal="centerContinuous" vertical="center"/>
    </xf>
    <xf numFmtId="0" fontId="13" fillId="5" borderId="2" xfId="0" applyFont="1" applyFill="1" applyBorder="1" applyAlignment="1">
      <alignment horizontal="center" vertical="center"/>
    </xf>
    <xf numFmtId="38" fontId="13" fillId="5" borderId="2" xfId="1" applyFont="1" applyFill="1" applyBorder="1" applyProtection="1">
      <alignment vertical="center"/>
      <protection hidden="1"/>
    </xf>
    <xf numFmtId="0" fontId="24" fillId="0" borderId="0" xfId="0" applyFont="1" applyProtection="1">
      <alignment vertical="center"/>
      <protection locked="0"/>
    </xf>
    <xf numFmtId="38" fontId="11" fillId="0" borderId="2" xfId="1" applyFont="1" applyBorder="1" applyProtection="1">
      <alignment vertical="center"/>
      <protection locked="0"/>
    </xf>
    <xf numFmtId="38" fontId="11" fillId="0" borderId="2" xfId="1" applyFont="1" applyBorder="1" applyAlignment="1" applyProtection="1">
      <alignment horizontal="centerContinuous" vertical="center"/>
      <protection locked="0"/>
    </xf>
    <xf numFmtId="38" fontId="11" fillId="0" borderId="4" xfId="1" applyFont="1" applyBorder="1" applyProtection="1">
      <alignment vertical="center"/>
      <protection locked="0"/>
    </xf>
    <xf numFmtId="38" fontId="11" fillId="0" borderId="4" xfId="1" applyFont="1" applyBorder="1" applyAlignment="1" applyProtection="1">
      <alignment horizontal="centerContinuous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8" fontId="11" fillId="0" borderId="3" xfId="1" applyFont="1" applyBorder="1" applyProtection="1">
      <alignment vertical="center"/>
      <protection locked="0"/>
    </xf>
    <xf numFmtId="38" fontId="11" fillId="0" borderId="3" xfId="1" applyFont="1" applyBorder="1" applyAlignment="1" applyProtection="1">
      <alignment horizontal="centerContinuous" vertical="center"/>
      <protection locked="0"/>
    </xf>
    <xf numFmtId="0" fontId="13" fillId="5" borderId="2" xfId="0" applyFont="1" applyFill="1" applyBorder="1" applyAlignment="1">
      <alignment horizontal="centerContinuous" vertical="center"/>
    </xf>
    <xf numFmtId="38" fontId="13" fillId="5" borderId="2" xfId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Continuous" vertical="center"/>
      <protection locked="0"/>
    </xf>
    <xf numFmtId="38" fontId="11" fillId="0" borderId="2" xfId="1" applyFont="1" applyBorder="1" applyProtection="1">
      <alignment vertical="center"/>
      <protection hidden="1"/>
    </xf>
    <xf numFmtId="38" fontId="13" fillId="5" borderId="2" xfId="1" applyFont="1" applyFill="1" applyBorder="1" applyAlignment="1">
      <alignment horizontal="center" vertical="center"/>
    </xf>
    <xf numFmtId="38" fontId="11" fillId="0" borderId="4" xfId="1" applyFont="1" applyBorder="1" applyProtection="1">
      <alignment vertical="center"/>
      <protection hidden="1"/>
    </xf>
    <xf numFmtId="38" fontId="11" fillId="0" borderId="4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horizontal="centerContinuous" vertical="center"/>
      <protection locked="0"/>
    </xf>
    <xf numFmtId="0" fontId="11" fillId="0" borderId="3" xfId="0" applyFont="1" applyBorder="1" applyAlignment="1" applyProtection="1">
      <alignment horizontal="centerContinuous" vertical="center"/>
      <protection locked="0"/>
    </xf>
    <xf numFmtId="38" fontId="11" fillId="0" borderId="3" xfId="1" applyFont="1" applyBorder="1" applyProtection="1">
      <alignment vertical="center"/>
      <protection hidden="1"/>
    </xf>
    <xf numFmtId="38" fontId="11" fillId="0" borderId="3" xfId="1" applyFont="1" applyBorder="1" applyAlignment="1" applyProtection="1">
      <alignment horizontal="center" vertical="center"/>
      <protection locked="0"/>
    </xf>
    <xf numFmtId="38" fontId="25" fillId="0" borderId="2" xfId="1" applyFont="1" applyFill="1" applyBorder="1" applyAlignment="1" applyProtection="1">
      <alignment horizontal="center" vertical="center"/>
      <protection locked="0"/>
    </xf>
    <xf numFmtId="0" fontId="18" fillId="7" borderId="4" xfId="0" applyFont="1" applyFill="1" applyBorder="1" applyAlignment="1" applyProtection="1">
      <alignment horizontal="center" vertical="center"/>
      <protection hidden="1"/>
    </xf>
    <xf numFmtId="38" fontId="18" fillId="7" borderId="4" xfId="0" applyNumberFormat="1" applyFont="1" applyFill="1" applyBorder="1" applyProtection="1">
      <alignment vertical="center"/>
      <protection hidden="1"/>
    </xf>
    <xf numFmtId="38" fontId="18" fillId="7" borderId="0" xfId="0" applyNumberFormat="1" applyFont="1" applyFill="1" applyProtection="1">
      <alignment vertical="center"/>
      <protection hidden="1"/>
    </xf>
    <xf numFmtId="0" fontId="18" fillId="7" borderId="4" xfId="0" applyFont="1" applyFill="1" applyBorder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8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38" fontId="6" fillId="0" borderId="2" xfId="1" applyFont="1" applyBorder="1" applyAlignment="1" applyProtection="1">
      <alignment horizontal="left" vertical="center" indent="1"/>
      <protection locked="0"/>
    </xf>
    <xf numFmtId="38" fontId="11" fillId="0" borderId="2" xfId="1" applyFont="1" applyBorder="1" applyAlignment="1" applyProtection="1">
      <alignment horizontal="left" vertical="center" indent="1"/>
      <protection locked="0"/>
    </xf>
    <xf numFmtId="38" fontId="11" fillId="0" borderId="4" xfId="1" applyFont="1" applyBorder="1" applyAlignment="1" applyProtection="1">
      <alignment horizontal="left" vertical="center" indent="1"/>
      <protection locked="0"/>
    </xf>
    <xf numFmtId="38" fontId="11" fillId="0" borderId="3" xfId="1" applyFont="1" applyBorder="1" applyAlignment="1" applyProtection="1">
      <alignment horizontal="left" vertical="center" indent="1"/>
      <protection locked="0"/>
    </xf>
    <xf numFmtId="3" fontId="21" fillId="0" borderId="3" xfId="1" applyNumberFormat="1" applyFont="1" applyFill="1" applyBorder="1" applyProtection="1">
      <alignment vertical="center"/>
      <protection hidden="1"/>
    </xf>
    <xf numFmtId="38" fontId="18" fillId="0" borderId="5" xfId="1" applyFont="1" applyFill="1" applyBorder="1" applyProtection="1">
      <alignment vertical="center"/>
      <protection hidden="1"/>
    </xf>
    <xf numFmtId="176" fontId="18" fillId="0" borderId="0" xfId="2" applyNumberFormat="1" applyFont="1" applyFill="1" applyProtection="1">
      <alignment vertical="center"/>
      <protection hidden="1"/>
    </xf>
    <xf numFmtId="38" fontId="18" fillId="0" borderId="2" xfId="0" applyNumberFormat="1" applyFont="1" applyBorder="1" applyProtection="1">
      <alignment vertical="center"/>
      <protection hidden="1"/>
    </xf>
    <xf numFmtId="38" fontId="20" fillId="0" borderId="2" xfId="0" applyNumberFormat="1" applyFont="1" applyBorder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38" fontId="18" fillId="0" borderId="6" xfId="1" applyFont="1" applyFill="1" applyBorder="1" applyProtection="1">
      <alignment vertical="center"/>
      <protection hidden="1"/>
    </xf>
    <xf numFmtId="177" fontId="14" fillId="4" borderId="0" xfId="0" applyNumberFormat="1" applyFont="1" applyFill="1" applyAlignment="1" applyProtection="1">
      <alignment horizontal="right"/>
      <protection hidden="1"/>
    </xf>
    <xf numFmtId="38" fontId="17" fillId="0" borderId="0" xfId="1" applyFont="1" applyFill="1" applyBorder="1" applyProtection="1">
      <alignment vertical="center"/>
      <protection hidden="1"/>
    </xf>
    <xf numFmtId="179" fontId="19" fillId="0" borderId="1" xfId="0" applyNumberFormat="1" applyFont="1" applyBorder="1" applyProtection="1">
      <alignment vertical="center"/>
      <protection hidden="1"/>
    </xf>
    <xf numFmtId="0" fontId="6" fillId="0" borderId="2" xfId="0" applyFont="1" applyBorder="1" applyAlignment="1" applyProtection="1">
      <alignment horizontal="centerContinuous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1">
    <dxf>
      <font>
        <color theme="0" tint="-4.9989318521683403E-2"/>
      </font>
      <fill>
        <patternFill patternType="none"/>
      </fill>
    </dxf>
    <dxf>
      <font>
        <color theme="0" tint="-4.9989318521683403E-2"/>
      </font>
      <fill>
        <patternFill patternType="none"/>
      </fill>
    </dxf>
    <dxf>
      <font>
        <color theme="0" tint="-4.9989318521683403E-2"/>
      </font>
      <fill>
        <patternFill patternType="none"/>
      </fill>
    </dxf>
    <dxf>
      <font>
        <color theme="0" tint="-4.9989318521683403E-2"/>
      </font>
      <fill>
        <patternFill patternType="none"/>
      </fill>
    </dxf>
    <dxf>
      <font>
        <color theme="0" tint="-4.9989318521683403E-2"/>
      </font>
      <fill>
        <patternFill patternType="none"/>
      </fill>
    </dxf>
    <dxf>
      <font>
        <color theme="0" tint="-4.9989318521683403E-2"/>
      </font>
      <fill>
        <patternFill patternType="none"/>
      </fill>
    </dxf>
    <dxf>
      <font>
        <color rgb="FFE7E6E6"/>
      </font>
      <fill>
        <patternFill patternType="solid">
          <bgColor rgb="FFE7E6E6"/>
        </patternFill>
      </fill>
      <border>
        <top/>
        <bottom/>
      </border>
    </dxf>
    <dxf>
      <font>
        <color rgb="FFE7E6E6"/>
      </font>
    </dxf>
    <dxf>
      <font>
        <color rgb="FFFF0000"/>
      </font>
    </dxf>
    <dxf>
      <font>
        <color rgb="FFE7E6E6"/>
      </font>
      <fill>
        <patternFill patternType="solid">
          <bgColor rgb="FFE7E6E6"/>
        </patternFill>
      </fill>
    </dxf>
    <dxf>
      <font>
        <color rgb="FFE7E6E6"/>
      </font>
      <fill>
        <patternFill patternType="solid">
          <bgColor rgb="FFE7E6E6"/>
        </patternFill>
      </fill>
      <border>
        <top/>
        <bottom/>
      </border>
    </dxf>
  </dxfs>
  <tableStyles count="0" defaultTableStyle="TableStyleMedium2" defaultPivotStyle="PivotStyleLight16"/>
  <colors>
    <mruColors>
      <color rgb="FFE7E6E6"/>
      <color rgb="FFC2CEE8"/>
      <color rgb="FF4D71BD"/>
      <color rgb="FF7F7F7F"/>
      <color rgb="FFFFFFFF"/>
      <color rgb="FFD9D9D9"/>
      <color rgb="FF9999FF"/>
      <color rgb="FF5B9BD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800" b="1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資産構成</a:t>
            </a:r>
          </a:p>
        </c:rich>
      </c:tx>
      <c:layout>
        <c:manualLayout>
          <c:xMode val="edge"/>
          <c:yMode val="edge"/>
          <c:x val="0.321970346643857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50531713395404E-2"/>
          <c:y val="0.17216082287039999"/>
          <c:w val="0.81489813058049199"/>
          <c:h val="0.79677663910525798"/>
        </c:manualLayout>
      </c:layout>
      <c:doughnutChart>
        <c:varyColors val="1"/>
        <c:ser>
          <c:idx val="0"/>
          <c:order val="0"/>
          <c:tx>
            <c:strRef>
              <c:f>集計!$D$7</c:f>
              <c:strCache>
                <c:ptCount val="1"/>
                <c:pt idx="0">
                  <c:v>金額</c:v>
                </c:pt>
              </c:strCache>
            </c:strRef>
          </c:tx>
          <c:dPt>
            <c:idx val="0"/>
            <c:bubble3D val="0"/>
            <c:spPr>
              <a:solidFill>
                <a:srgbClr val="4D71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1-4FBE-9CEF-3BBD4886ADC7}"/>
              </c:ext>
            </c:extLst>
          </c:dPt>
          <c:dPt>
            <c:idx val="1"/>
            <c:bubble3D val="0"/>
            <c:spPr>
              <a:solidFill>
                <a:srgbClr val="C2CEE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41-4FBE-9CEF-3BBD4886ADC7}"/>
              </c:ext>
            </c:extLst>
          </c:dPt>
          <c:dPt>
            <c:idx val="2"/>
            <c:bubble3D val="0"/>
            <c:spPr>
              <a:solidFill>
                <a:srgbClr val="D9D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41-4FBE-9CEF-3BBD4886ADC7}"/>
              </c:ext>
            </c:extLst>
          </c:dPt>
          <c:dPt>
            <c:idx val="3"/>
            <c:bubble3D val="0"/>
            <c:spPr>
              <a:solidFill>
                <a:srgbClr val="7F7F7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41-4FBE-9CEF-3BBD4886ADC7}"/>
              </c:ext>
            </c:extLst>
          </c:dPt>
          <c:dPt>
            <c:idx val="4"/>
            <c:bubble3D val="0"/>
            <c:spPr>
              <a:pattFill prst="pct50">
                <a:fgClr>
                  <a:srgbClr val="F2F2F2"/>
                </a:fgClr>
                <a:bgClr>
                  <a:srgbClr val="4D71B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41-4FBE-9CEF-3BBD4886ADC7}"/>
              </c:ext>
            </c:extLst>
          </c:dPt>
          <c:dPt>
            <c:idx val="5"/>
            <c:bubble3D val="0"/>
            <c:spPr>
              <a:pattFill prst="pct70">
                <a:fgClr>
                  <a:srgbClr val="F2F2F2"/>
                </a:fgClr>
                <a:bgClr>
                  <a:srgbClr val="C2CEE8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41-4FBE-9CEF-3BBD4886ADC7}"/>
              </c:ext>
            </c:extLst>
          </c:dPt>
          <c:dPt>
            <c:idx val="6"/>
            <c:bubble3D val="0"/>
            <c:spPr>
              <a:pattFill prst="pct90">
                <a:fgClr>
                  <a:srgbClr val="D9D9D9"/>
                </a:fgClr>
                <a:bgClr>
                  <a:srgbClr val="F2F2F2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41-4FBE-9CEF-3BBD4886ADC7}"/>
              </c:ext>
            </c:extLst>
          </c:dPt>
          <c:dPt>
            <c:idx val="7"/>
            <c:bubble3D val="0"/>
            <c:spPr>
              <a:pattFill prst="narVert">
                <a:fgClr>
                  <a:srgbClr val="4D71BD"/>
                </a:fgClr>
                <a:bgClr>
                  <a:srgbClr val="FFFFFF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41-4FBE-9CEF-3BBD4886ADC7}"/>
              </c:ext>
            </c:extLst>
          </c:dPt>
          <c:dPt>
            <c:idx val="8"/>
            <c:bubble3D val="0"/>
            <c:spPr>
              <a:pattFill prst="narVert">
                <a:fgClr>
                  <a:srgbClr val="C2CEE8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41-4FBE-9CEF-3BBD4886ADC7}"/>
              </c:ext>
            </c:extLst>
          </c:dPt>
          <c:dPt>
            <c:idx val="9"/>
            <c:bubble3D val="0"/>
            <c:spPr>
              <a:pattFill prst="narVert">
                <a:fgClr>
                  <a:srgbClr val="C2CEE8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41-4FBE-9CEF-3BBD4886ADC7}"/>
              </c:ext>
            </c:extLst>
          </c:dPt>
          <c:dPt>
            <c:idx val="10"/>
            <c:bubble3D val="0"/>
            <c:spPr>
              <a:pattFill prst="narVert">
                <a:fgClr>
                  <a:srgbClr val="E7E6E6"/>
                </a:fgClr>
                <a:bgClr>
                  <a:srgbClr val="FFFFFF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41-4FBE-9CEF-3BBD4886ADC7}"/>
              </c:ext>
            </c:extLst>
          </c:dPt>
          <c:dPt>
            <c:idx val="11"/>
            <c:bubble3D val="0"/>
            <c:spPr>
              <a:pattFill prst="narVert">
                <a:fgClr>
                  <a:srgbClr val="7F7F7F"/>
                </a:fgClr>
                <a:bgClr>
                  <a:srgbClr val="FFFFFF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41-4FBE-9CEF-3BBD4886ADC7}"/>
              </c:ext>
            </c:extLst>
          </c:dPt>
          <c:dPt>
            <c:idx val="12"/>
            <c:bubble3D val="0"/>
            <c:spPr>
              <a:pattFill prst="ltUpDiag">
                <a:fgClr>
                  <a:srgbClr val="FFFFFF"/>
                </a:fgClr>
                <a:bgClr>
                  <a:srgbClr val="4D71B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E41-4FBE-9CEF-3BBD4886ADC7}"/>
              </c:ext>
            </c:extLst>
          </c:dPt>
          <c:dPt>
            <c:idx val="13"/>
            <c:bubble3D val="0"/>
            <c:spPr>
              <a:pattFill prst="ltUpDiag">
                <a:fgClr>
                  <a:srgbClr val="FFFFFF"/>
                </a:fgClr>
                <a:bgClr>
                  <a:srgbClr val="C2CEE8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E41-4FBE-9CEF-3BBD4886ADC7}"/>
              </c:ext>
            </c:extLst>
          </c:dPt>
          <c:dPt>
            <c:idx val="14"/>
            <c:bubble3D val="0"/>
            <c:spPr>
              <a:pattFill prst="ltUpDiag">
                <a:fgClr>
                  <a:srgbClr val="FFFFFF"/>
                </a:fgClr>
                <a:bgClr>
                  <a:srgbClr val="E7E6E6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E41-4FBE-9CEF-3BBD4886ADC7}"/>
              </c:ext>
            </c:extLst>
          </c:dPt>
          <c:dPt>
            <c:idx val="15"/>
            <c:bubble3D val="0"/>
            <c:spPr>
              <a:pattFill prst="ltUpDiag">
                <a:fgClr>
                  <a:srgbClr val="F2F2F2"/>
                </a:fgClr>
                <a:bgClr>
                  <a:srgbClr val="7F7F7F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E41-4FBE-9CEF-3BBD4886ADC7}"/>
              </c:ext>
            </c:extLst>
          </c:dPt>
          <c:dLbls>
            <c:dLbl>
              <c:idx val="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0E41-4FBE-9CEF-3BBD4886ADC7}"/>
                </c:ext>
              </c:extLst>
            </c:dLbl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0E41-4FBE-9CEF-3BBD4886ADC7}"/>
                </c:ext>
              </c:extLst>
            </c:dLbl>
            <c:dLbl>
              <c:idx val="2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0E41-4FBE-9CEF-3BBD4886ADC7}"/>
                </c:ext>
              </c:extLst>
            </c:dLbl>
            <c:dLbl>
              <c:idx val="3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0E41-4FBE-9CEF-3BBD4886ADC7}"/>
                </c:ext>
              </c:extLst>
            </c:dLbl>
            <c:dLbl>
              <c:idx val="4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0E41-4FBE-9CEF-3BBD4886ADC7}"/>
                </c:ext>
              </c:extLst>
            </c:dLbl>
            <c:dLbl>
              <c:idx val="5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0E41-4FBE-9CEF-3BBD4886ADC7}"/>
                </c:ext>
              </c:extLst>
            </c:dLbl>
            <c:dLbl>
              <c:idx val="6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0E41-4FBE-9CEF-3BBD4886ADC7}"/>
                </c:ext>
              </c:extLst>
            </c:dLbl>
            <c:dLbl>
              <c:idx val="15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E41-4FBE-9CEF-3BBD4886ADC7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集計!$C$8:$C$17</c:f>
              <c:strCache>
                <c:ptCount val="4"/>
                <c:pt idx="0">
                  <c:v>現預金</c:v>
                </c:pt>
                <c:pt idx="1">
                  <c:v>投資信託</c:v>
                </c:pt>
                <c:pt idx="2">
                  <c:v>年金</c:v>
                </c:pt>
                <c:pt idx="3">
                  <c:v>株式</c:v>
                </c:pt>
              </c:strCache>
            </c:strRef>
          </c:cat>
          <c:val>
            <c:numRef>
              <c:f>集計!$D$8:$D$17</c:f>
              <c:numCache>
                <c:formatCode>#,##0_);[Red]\(#,##0\)</c:formatCode>
                <c:ptCount val="10"/>
                <c:pt idx="0">
                  <c:v>1861248</c:v>
                </c:pt>
                <c:pt idx="1">
                  <c:v>2610334</c:v>
                </c:pt>
                <c:pt idx="2">
                  <c:v>1274839</c:v>
                </c:pt>
                <c:pt idx="3">
                  <c:v>1017933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E41-4FBE-9CEF-3BBD4886AD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90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支出構成</a:t>
            </a:r>
          </a:p>
        </c:rich>
      </c:tx>
      <c:layout>
        <c:manualLayout>
          <c:xMode val="edge"/>
          <c:yMode val="edge"/>
          <c:x val="0.278100820359840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627848404494194E-2"/>
          <c:y val="0.19527176027014101"/>
          <c:w val="0.83074347141863802"/>
          <c:h val="0.77388333671680898"/>
        </c:manualLayout>
      </c:layout>
      <c:doughnutChart>
        <c:varyColors val="1"/>
        <c:ser>
          <c:idx val="0"/>
          <c:order val="0"/>
          <c:tx>
            <c:strRef>
              <c:f>集計!$D$94</c:f>
              <c:strCache>
                <c:ptCount val="1"/>
                <c:pt idx="0">
                  <c:v>金額</c:v>
                </c:pt>
              </c:strCache>
            </c:strRef>
          </c:tx>
          <c:dPt>
            <c:idx val="0"/>
            <c:bubble3D val="0"/>
            <c:spPr>
              <a:solidFill>
                <a:srgbClr val="4D71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62-412A-9D54-044B88880D22}"/>
              </c:ext>
            </c:extLst>
          </c:dPt>
          <c:dPt>
            <c:idx val="1"/>
            <c:bubble3D val="0"/>
            <c:spPr>
              <a:solidFill>
                <a:srgbClr val="C2CEE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62-412A-9D54-044B88880D22}"/>
              </c:ext>
            </c:extLst>
          </c:dPt>
          <c:dPt>
            <c:idx val="2"/>
            <c:bubble3D val="0"/>
            <c:spPr>
              <a:solidFill>
                <a:srgbClr val="D9D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62-412A-9D54-044B88880D22}"/>
              </c:ext>
            </c:extLst>
          </c:dPt>
          <c:dPt>
            <c:idx val="3"/>
            <c:bubble3D val="0"/>
            <c:spPr>
              <a:solidFill>
                <a:srgbClr val="7F7F7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62-412A-9D54-044B88880D22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62-412A-9D54-044B88880D22}"/>
              </c:ext>
            </c:extLst>
          </c:dPt>
          <c:dPt>
            <c:idx val="5"/>
            <c:bubble3D val="0"/>
            <c:spPr>
              <a:pattFill prst="pct50">
                <a:fgClr>
                  <a:srgbClr val="F2F2F2"/>
                </a:fgClr>
                <a:bgClr>
                  <a:srgbClr val="4D71B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62-412A-9D54-044B88880D22}"/>
              </c:ext>
            </c:extLst>
          </c:dPt>
          <c:dPt>
            <c:idx val="6"/>
            <c:bubble3D val="0"/>
            <c:spPr>
              <a:pattFill prst="pct50">
                <a:fgClr>
                  <a:srgbClr val="F2F2F2"/>
                </a:fgClr>
                <a:bgClr>
                  <a:srgbClr val="C2CEE8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262-412A-9D54-044B88880D22}"/>
              </c:ext>
            </c:extLst>
          </c:dPt>
          <c:dPt>
            <c:idx val="7"/>
            <c:bubble3D val="0"/>
            <c:spPr>
              <a:pattFill prst="pct50">
                <a:fgClr>
                  <a:srgbClr val="D9D9D9"/>
                </a:fgClr>
                <a:bgClr>
                  <a:srgbClr val="F2F2F2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262-412A-9D54-044B88880D22}"/>
              </c:ext>
            </c:extLst>
          </c:dPt>
          <c:dPt>
            <c:idx val="8"/>
            <c:bubble3D val="0"/>
            <c:spPr>
              <a:pattFill prst="pct50">
                <a:fgClr>
                  <a:srgbClr val="D9D9D9"/>
                </a:fgClr>
                <a:bgClr>
                  <a:srgbClr val="7F7F7F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262-412A-9D54-044B88880D22}"/>
              </c:ext>
            </c:extLst>
          </c:dPt>
          <c:dPt>
            <c:idx val="9"/>
            <c:bubble3D val="0"/>
            <c:spPr>
              <a:pattFill prst="pct50">
                <a:fgClr>
                  <a:srgbClr val="F2F2F2"/>
                </a:fgClr>
                <a:bgClr>
                  <a:srgbClr val="5B9BD5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262-412A-9D54-044B88880D22}"/>
              </c:ext>
            </c:extLst>
          </c:dPt>
          <c:dPt>
            <c:idx val="10"/>
            <c:bubble3D val="0"/>
            <c:spPr>
              <a:pattFill prst="pct75">
                <a:fgClr>
                  <a:srgbClr val="C2CEE8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1262-412A-9D54-044B88880D2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rgbClr val="FFFFFF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1262-412A-9D54-044B88880D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lang="ja-JP" sz="600" b="1" i="0" u="none" strike="noStrike" kern="1200" baseline="0">
                      <a:solidFill>
                        <a:srgbClr val="FFFFFF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1262-412A-9D54-044B88880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lang="ja-JP" sz="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集計!$C$95:$C$105</c:f>
              <c:strCache>
                <c:ptCount val="4"/>
                <c:pt idx="0">
                  <c:v>住宅</c:v>
                </c:pt>
                <c:pt idx="1">
                  <c:v>食費</c:v>
                </c:pt>
                <c:pt idx="2">
                  <c:v>交際費</c:v>
                </c:pt>
                <c:pt idx="3">
                  <c:v>保険</c:v>
                </c:pt>
              </c:strCache>
            </c:strRef>
          </c:cat>
          <c:val>
            <c:numRef>
              <c:f>集計!$D$95:$D$105</c:f>
              <c:numCache>
                <c:formatCode>#,##0_);[Red]\(#,##0\)</c:formatCode>
                <c:ptCount val="11"/>
                <c:pt idx="0">
                  <c:v>127500</c:v>
                </c:pt>
                <c:pt idx="1">
                  <c:v>47295</c:v>
                </c:pt>
                <c:pt idx="2">
                  <c:v>30000</c:v>
                </c:pt>
                <c:pt idx="3">
                  <c:v>18000</c:v>
                </c:pt>
                <c:pt idx="4">
                  <c:v>12500</c:v>
                </c:pt>
                <c:pt idx="5">
                  <c:v>11341</c:v>
                </c:pt>
                <c:pt idx="6">
                  <c:v>9978</c:v>
                </c:pt>
                <c:pt idx="7">
                  <c:v>8145</c:v>
                </c:pt>
                <c:pt idx="8">
                  <c:v>8082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262-412A-9D54-044B88880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</c:plotArea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800" b="1">
                <a:latin typeface="メイリオ" panose="020B0604030504040204" pitchFamily="50" charset="-128"/>
                <a:ea typeface="メイリオ" panose="020B0604030504040204" pitchFamily="50" charset="-128"/>
              </a:rPr>
              <a:t>支出推移</a:t>
            </a:r>
          </a:p>
        </c:rich>
      </c:tx>
      <c:layout>
        <c:manualLayout>
          <c:xMode val="edge"/>
          <c:yMode val="edge"/>
          <c:x val="0.4335892803015640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39385162234899"/>
          <c:y val="7.2610237695234406E-2"/>
          <c:w val="0.67013169852816201"/>
          <c:h val="0.84665536546951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集計!$G$95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rgbClr val="4D71BD"/>
            </a:solid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集計!$H$95:$S$95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1-4429-A7E6-875334DE5897}"/>
            </c:ext>
          </c:extLst>
        </c:ser>
        <c:ser>
          <c:idx val="1"/>
          <c:order val="1"/>
          <c:tx>
            <c:strRef>
              <c:f>集計!$G$96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rgbClr val="C2CEE8"/>
            </a:solid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集計!$H$96:$S$96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1-4429-A7E6-875334DE5897}"/>
            </c:ext>
          </c:extLst>
        </c:ser>
        <c:ser>
          <c:idx val="2"/>
          <c:order val="2"/>
          <c:tx>
            <c:strRef>
              <c:f>集計!$G$97</c:f>
              <c:strCache>
                <c:ptCount val="1"/>
                <c:pt idx="0">
                  <c:v>交通費</c:v>
                </c:pt>
              </c:strCache>
            </c:strRef>
          </c:tx>
          <c:spPr>
            <a:solidFill>
              <a:srgbClr val="E7E6E6"/>
            </a:solid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集計!$H$97:$S$97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0</c:v>
                </c:pt>
                <c:pt idx="6">
                  <c:v>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1-4429-A7E6-875334DE5897}"/>
            </c:ext>
          </c:extLst>
        </c:ser>
        <c:ser>
          <c:idx val="3"/>
          <c:order val="3"/>
          <c:tx>
            <c:strRef>
              <c:f>集計!$G$98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集計!$H$98:$S$98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31-4429-A7E6-875334DE5897}"/>
            </c:ext>
          </c:extLst>
        </c:ser>
        <c:ser>
          <c:idx val="4"/>
          <c:order val="4"/>
          <c:tx>
            <c:strRef>
              <c:f>集計!$G$99</c:f>
              <c:strCache>
                <c:ptCount val="1"/>
                <c:pt idx="0">
                  <c:v>水道・光熱費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集計!$H$99:$S$99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1-4429-A7E6-875334DE5897}"/>
            </c:ext>
          </c:extLst>
        </c:ser>
        <c:ser>
          <c:idx val="5"/>
          <c:order val="5"/>
          <c:tx>
            <c:strRef>
              <c:f>集計!$G$100</c:f>
              <c:strCache>
                <c:ptCount val="1"/>
                <c:pt idx="0">
                  <c:v>衣服・美容</c:v>
                </c:pt>
              </c:strCache>
            </c:strRef>
          </c:tx>
          <c:spPr>
            <a:pattFill prst="pct50">
              <a:fgClr>
                <a:srgbClr val="E7E6E6"/>
              </a:fgClr>
              <a:bgClr>
                <a:srgbClr val="4D71BD"/>
              </a:bgClr>
            </a:patt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集計!$H$100:$S$100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31-4429-A7E6-875334DE5897}"/>
            </c:ext>
          </c:extLst>
        </c:ser>
        <c:ser>
          <c:idx val="6"/>
          <c:order val="6"/>
          <c:tx>
            <c:strRef>
              <c:f>集計!$G$101</c:f>
              <c:strCache>
                <c:ptCount val="1"/>
                <c:pt idx="0">
                  <c:v>教養・教育</c:v>
                </c:pt>
              </c:strCache>
            </c:strRef>
          </c:tx>
          <c:spPr>
            <a:pattFill prst="pct50">
              <a:fgClr>
                <a:srgbClr val="C2CEE8"/>
              </a:fgClr>
              <a:bgClr>
                <a:srgbClr val="D9D9D9"/>
              </a:bgClr>
            </a:patt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集計!$H$101:$S$101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31-4429-A7E6-875334DE5897}"/>
            </c:ext>
          </c:extLst>
        </c:ser>
        <c:ser>
          <c:idx val="7"/>
          <c:order val="7"/>
          <c:tx>
            <c:strRef>
              <c:f>集計!$G$102</c:f>
              <c:strCache>
                <c:ptCount val="1"/>
                <c:pt idx="0">
                  <c:v>特別費</c:v>
                </c:pt>
              </c:strCache>
            </c:strRef>
          </c:tx>
          <c:spPr>
            <a:pattFill prst="pct50">
              <a:fgClr>
                <a:srgbClr val="D9D9D9"/>
              </a:fgClr>
              <a:bgClr>
                <a:srgbClr val="7F7F7F"/>
              </a:bgClr>
            </a:patt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集計!$H$102:$S$102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31-4429-A7E6-875334DE5897}"/>
            </c:ext>
          </c:extLst>
        </c:ser>
        <c:ser>
          <c:idx val="8"/>
          <c:order val="8"/>
          <c:tx>
            <c:strRef>
              <c:f>集計!$G$103</c:f>
              <c:strCache>
                <c:ptCount val="1"/>
                <c:pt idx="0">
                  <c:v>交際費</c:v>
                </c:pt>
              </c:strCache>
            </c:strRef>
          </c:tx>
          <c:spPr>
            <a:pattFill prst="pct50">
              <a:fgClr>
                <a:srgbClr val="D9D9D9"/>
              </a:fgClr>
              <a:bgClr>
                <a:srgbClr val="5B9BD5"/>
              </a:bgClr>
            </a:patt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集計!$H$103:$S$103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31-4429-A7E6-875334DE5897}"/>
            </c:ext>
          </c:extLst>
        </c:ser>
        <c:ser>
          <c:idx val="9"/>
          <c:order val="9"/>
          <c:tx>
            <c:strRef>
              <c:f>集計!$G$104</c:f>
              <c:strCache>
                <c:ptCount val="1"/>
                <c:pt idx="0">
                  <c:v>通信費</c:v>
                </c:pt>
              </c:strCache>
            </c:strRef>
          </c:tx>
          <c:spPr>
            <a:pattFill prst="ltUpDiag">
              <a:fgClr>
                <a:srgbClr val="D9D9D9"/>
              </a:fgClr>
              <a:bgClr>
                <a:srgbClr val="4D71BD"/>
              </a:bgClr>
            </a:pattFill>
            <a:ln>
              <a:noFill/>
            </a:ln>
            <a:effectLst/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集計!$H$104:$S$104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31-4429-A7E6-875334DE5897}"/>
            </c:ext>
          </c:extLst>
        </c:ser>
        <c:ser>
          <c:idx val="10"/>
          <c:order val="10"/>
          <c:tx>
            <c:strRef>
              <c:f>集計!$G$105</c:f>
              <c:strCache>
                <c:ptCount val="1"/>
                <c:pt idx="0">
                  <c:v>その他 </c:v>
                </c:pt>
              </c:strCache>
            </c:strRef>
          </c:tx>
          <c:spPr>
            <a:pattFill prst="pct75">
              <a:fgClr>
                <a:srgbClr val="C2CEE8"/>
              </a:fgClr>
              <a:bgClr>
                <a:srgbClr val="FFFFFF"/>
              </a:bgClr>
            </a:pattFill>
          </c:spPr>
          <c:invertIfNegative val="0"/>
          <c:cat>
            <c:strRef>
              <c:f>集計!$H$94:$S$94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集計!$H$105:$S$105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31-4429-A7E6-875334DE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serLines>
          <c:spPr>
            <a:ln w="6350" cap="flat" cmpd="sng" algn="ctr">
              <a:solidFill>
                <a:srgbClr val="C2CEE8"/>
              </a:solidFill>
              <a:prstDash val="solid"/>
              <a:round/>
            </a:ln>
            <a:effectLst/>
          </c:spPr>
        </c:serLines>
        <c:axId val="841297176"/>
        <c:axId val="841293936"/>
      </c:barChart>
      <c:catAx>
        <c:axId val="84129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1293936"/>
        <c:crosses val="autoZero"/>
        <c:auto val="1"/>
        <c:lblAlgn val="ctr"/>
        <c:lblOffset val="100"/>
        <c:noMultiLvlLbl val="0"/>
      </c:catAx>
      <c:valAx>
        <c:axId val="8412939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2CEE8"/>
              </a:solidFill>
              <a:prstDash val="solid"/>
              <a:round/>
            </a:ln>
            <a:effectLst/>
          </c:spPr>
        </c:majorGridlines>
        <c:numFmt formatCode="#,##0&quot;万円&quot;;[Red]\-#,##0&quot;万円&quot;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1297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89404096450201"/>
          <c:y val="7.1081553544935699E-2"/>
          <c:w val="0.198106047048272"/>
          <c:h val="0.84899058763985702"/>
        </c:manualLayout>
      </c:layout>
      <c:overlay val="0"/>
      <c:spPr>
        <a:solidFill>
          <a:srgbClr val="FFFFFF">
            <a:alpha val="50000"/>
          </a:srgb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800" b="1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資産推移</a:t>
            </a:r>
          </a:p>
        </c:rich>
      </c:tx>
      <c:layout>
        <c:manualLayout>
          <c:xMode val="edge"/>
          <c:yMode val="edge"/>
          <c:x val="0.4553708037541169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0181250066266"/>
          <c:y val="0.17060809404910501"/>
          <c:w val="0.74161272903027675"/>
          <c:h val="0.69848031456483195"/>
        </c:manualLayout>
      </c:layout>
      <c:areaChart>
        <c:grouping val="standard"/>
        <c:varyColors val="0"/>
        <c:ser>
          <c:idx val="7"/>
          <c:order val="0"/>
          <c:tx>
            <c:strRef>
              <c:f>集計!$V$8</c:f>
              <c:strCache>
                <c:ptCount val="1"/>
              </c:strCache>
            </c:strRef>
          </c:tx>
          <c:spPr>
            <a:pattFill prst="dkUpDiag">
              <a:fgClr>
                <a:srgbClr val="FFFFFF"/>
              </a:fgClr>
              <a:bgClr>
                <a:srgbClr val="7F7F7F"/>
              </a:bgClr>
            </a:pattFill>
            <a:ln w="25400">
              <a:noFill/>
            </a:ln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集計!$W$8:$AH$8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A-48A2-B939-AAFFBE1604AB}"/>
            </c:ext>
          </c:extLst>
        </c:ser>
        <c:ser>
          <c:idx val="6"/>
          <c:order val="1"/>
          <c:tx>
            <c:strRef>
              <c:f>集計!$V$9</c:f>
              <c:strCache>
                <c:ptCount val="1"/>
              </c:strCache>
            </c:strRef>
          </c:tx>
          <c:spPr>
            <a:pattFill prst="dkUpDiag">
              <a:fgClr>
                <a:srgbClr val="FFFFFF"/>
              </a:fgClr>
              <a:bgClr>
                <a:srgbClr val="E7E6E6"/>
              </a:bgClr>
            </a:pattFill>
            <a:ln w="25400">
              <a:noFill/>
            </a:ln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集計!$W$9:$AH$9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A-48A2-B939-AAFFBE1604AB}"/>
            </c:ext>
          </c:extLst>
        </c:ser>
        <c:ser>
          <c:idx val="5"/>
          <c:order val="2"/>
          <c:tx>
            <c:strRef>
              <c:f>集計!$V$10</c:f>
              <c:strCache>
                <c:ptCount val="1"/>
              </c:strCache>
            </c:strRef>
          </c:tx>
          <c:spPr>
            <a:pattFill prst="dkUpDiag">
              <a:fgClr>
                <a:srgbClr val="FFFFFF"/>
              </a:fgClr>
              <a:bgClr>
                <a:srgbClr val="C2CEE8"/>
              </a:bgClr>
            </a:pattFill>
            <a:ln w="25400">
              <a:noFill/>
            </a:ln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集計!$W$10:$AH$10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A-48A2-B939-AAFFBE1604AB}"/>
            </c:ext>
          </c:extLst>
        </c:ser>
        <c:ser>
          <c:idx val="4"/>
          <c:order val="3"/>
          <c:tx>
            <c:strRef>
              <c:f>集計!$V$11</c:f>
              <c:strCache>
                <c:ptCount val="1"/>
              </c:strCache>
            </c:strRef>
          </c:tx>
          <c:spPr>
            <a:pattFill prst="ltUpDiag">
              <a:fgClr>
                <a:srgbClr val="FFFFFF"/>
              </a:fgClr>
              <a:bgClr>
                <a:srgbClr val="4D71BD"/>
              </a:bgClr>
            </a:pattFill>
            <a:ln w="25400">
              <a:noFill/>
            </a:ln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集計!$W$11:$AH$11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3A-48A2-B939-AAFFBE1604AB}"/>
            </c:ext>
          </c:extLst>
        </c:ser>
        <c:ser>
          <c:idx val="0"/>
          <c:order val="4"/>
          <c:tx>
            <c:strRef>
              <c:f>集計!$V$12</c:f>
              <c:strCache>
                <c:ptCount val="1"/>
              </c:strCache>
            </c:strRef>
          </c:tx>
          <c:spPr>
            <a:pattFill prst="narVert">
              <a:fgClr>
                <a:srgbClr val="7F7F7F"/>
              </a:fgClr>
              <a:bgClr>
                <a:srgbClr val="FFFFFF"/>
              </a:bgClr>
            </a:pattFill>
            <a:ln w="25400">
              <a:noFill/>
            </a:ln>
            <a:effectLst/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集計!$W$12:$AH$12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A-48A2-B939-AAFFBE1604AB}"/>
            </c:ext>
          </c:extLst>
        </c:ser>
        <c:ser>
          <c:idx val="1"/>
          <c:order val="5"/>
          <c:tx>
            <c:strRef>
              <c:f>集計!$V$13</c:f>
              <c:strCache>
                <c:ptCount val="1"/>
                <c:pt idx="0">
                  <c:v>負債</c:v>
                </c:pt>
              </c:strCache>
            </c:strRef>
          </c:tx>
          <c:spPr>
            <a:pattFill prst="narVert">
              <a:fgClr>
                <a:srgbClr val="E7E6E6"/>
              </a:fgClr>
              <a:bgClr>
                <a:srgbClr val="FFFFFF"/>
              </a:bgClr>
            </a:pattFill>
            <a:ln w="25400">
              <a:noFill/>
            </a:ln>
            <a:effectLst/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集計!$W$13:$AH$13</c:f>
              <c:numCache>
                <c:formatCode>General</c:formatCode>
                <c:ptCount val="12"/>
                <c:pt idx="0">
                  <c:v>-138</c:v>
                </c:pt>
                <c:pt idx="1">
                  <c:v>-136</c:v>
                </c:pt>
                <c:pt idx="2">
                  <c:v>-135</c:v>
                </c:pt>
                <c:pt idx="3">
                  <c:v>-134</c:v>
                </c:pt>
                <c:pt idx="4">
                  <c:v>-132</c:v>
                </c:pt>
                <c:pt idx="5">
                  <c:v>-130</c:v>
                </c:pt>
                <c:pt idx="6">
                  <c:v>-128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3A-48A2-B939-AAFFBE1604AB}"/>
            </c:ext>
          </c:extLst>
        </c:ser>
        <c:ser>
          <c:idx val="2"/>
          <c:order val="6"/>
          <c:tx>
            <c:strRef>
              <c:f>集計!$V$14</c:f>
              <c:strCache>
                <c:ptCount val="1"/>
                <c:pt idx="0">
                  <c:v>株式</c:v>
                </c:pt>
              </c:strCache>
            </c:strRef>
          </c:tx>
          <c:spPr>
            <a:pattFill prst="narVert">
              <a:fgClr>
                <a:srgbClr val="C2CEE8"/>
              </a:fgClr>
              <a:bgClr>
                <a:srgbClr val="FFFFFF"/>
              </a:bgClr>
            </a:pattFill>
            <a:ln w="25400">
              <a:noFill/>
            </a:ln>
            <a:effectLst/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集計!$W$14:$AH$14</c:f>
              <c:numCache>
                <c:formatCode>General</c:formatCode>
                <c:ptCount val="12"/>
                <c:pt idx="0">
                  <c:v>512</c:v>
                </c:pt>
                <c:pt idx="1">
                  <c:v>542</c:v>
                </c:pt>
                <c:pt idx="2">
                  <c:v>575</c:v>
                </c:pt>
                <c:pt idx="3">
                  <c:v>589</c:v>
                </c:pt>
                <c:pt idx="4">
                  <c:v>613</c:v>
                </c:pt>
                <c:pt idx="5">
                  <c:v>619</c:v>
                </c:pt>
                <c:pt idx="6">
                  <c:v>676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3A-48A2-B939-AAFFBE1604AB}"/>
            </c:ext>
          </c:extLst>
        </c:ser>
        <c:ser>
          <c:idx val="8"/>
          <c:order val="7"/>
          <c:tx>
            <c:strRef>
              <c:f>集計!$V$15</c:f>
              <c:strCache>
                <c:ptCount val="1"/>
                <c:pt idx="0">
                  <c:v>年金</c:v>
                </c:pt>
              </c:strCache>
            </c:strRef>
          </c:tx>
          <c:spPr>
            <a:pattFill prst="narVert">
              <a:fgClr>
                <a:srgbClr val="FFFFFF"/>
              </a:fgClr>
              <a:bgClr>
                <a:srgbClr val="4D71BD"/>
              </a:bgClr>
            </a:pattFill>
            <a:ln w="25400">
              <a:noFill/>
            </a:ln>
          </c:spPr>
          <c:val>
            <c:numRef>
              <c:f>集計!$W$15:$AH$15</c:f>
              <c:numCache>
                <c:formatCode>General</c:formatCode>
                <c:ptCount val="12"/>
                <c:pt idx="0">
                  <c:v>501</c:v>
                </c:pt>
                <c:pt idx="1">
                  <c:v>517</c:v>
                </c:pt>
                <c:pt idx="2">
                  <c:v>534</c:v>
                </c:pt>
                <c:pt idx="3">
                  <c:v>538</c:v>
                </c:pt>
                <c:pt idx="4">
                  <c:v>543</c:v>
                </c:pt>
                <c:pt idx="5">
                  <c:v>530</c:v>
                </c:pt>
                <c:pt idx="6">
                  <c:v>574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3A-48A2-B939-AAFFBE1604AB}"/>
            </c:ext>
          </c:extLst>
        </c:ser>
        <c:ser>
          <c:idx val="9"/>
          <c:order val="8"/>
          <c:tx>
            <c:strRef>
              <c:f>集計!$V$16</c:f>
              <c:strCache>
                <c:ptCount val="1"/>
                <c:pt idx="0">
                  <c:v>投資信託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7F7F7F"/>
              </a:bgClr>
            </a:pattFill>
            <a:ln w="25400">
              <a:noFill/>
            </a:ln>
          </c:spPr>
          <c:val>
            <c:numRef>
              <c:f>集計!$W$16:$AH$16</c:f>
              <c:numCache>
                <c:formatCode>General</c:formatCode>
                <c:ptCount val="12"/>
                <c:pt idx="0">
                  <c:v>413</c:v>
                </c:pt>
                <c:pt idx="1">
                  <c:v>426</c:v>
                </c:pt>
                <c:pt idx="2">
                  <c:v>429</c:v>
                </c:pt>
                <c:pt idx="3">
                  <c:v>430</c:v>
                </c:pt>
                <c:pt idx="4">
                  <c:v>432</c:v>
                </c:pt>
                <c:pt idx="5">
                  <c:v>416</c:v>
                </c:pt>
                <c:pt idx="6">
                  <c:v>447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3A-48A2-B939-AAFFBE1604AB}"/>
            </c:ext>
          </c:extLst>
        </c:ser>
        <c:ser>
          <c:idx val="3"/>
          <c:order val="9"/>
          <c:tx>
            <c:strRef>
              <c:f>集計!$V$17</c:f>
              <c:strCache>
                <c:ptCount val="1"/>
                <c:pt idx="0">
                  <c:v>現預金</c:v>
                </c:pt>
              </c:strCache>
            </c:strRef>
          </c:tx>
          <c:spPr>
            <a:solidFill>
              <a:srgbClr val="4D71BD"/>
            </a:solidFill>
            <a:ln w="25400">
              <a:noFill/>
            </a:ln>
            <a:effectLst/>
          </c:spPr>
          <c:cat>
            <c:strRef>
              <c:f>集計!$W$7:$AH$7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集計!$W$17:$AH$17</c:f>
              <c:numCache>
                <c:formatCode>General</c:formatCode>
                <c:ptCount val="12"/>
                <c:pt idx="0">
                  <c:v>207</c:v>
                </c:pt>
                <c:pt idx="1">
                  <c:v>204</c:v>
                </c:pt>
                <c:pt idx="2">
                  <c:v>196</c:v>
                </c:pt>
                <c:pt idx="3">
                  <c:v>188</c:v>
                </c:pt>
                <c:pt idx="4">
                  <c:v>176</c:v>
                </c:pt>
                <c:pt idx="5">
                  <c:v>156</c:v>
                </c:pt>
                <c:pt idx="6">
                  <c:v>186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3A-48A2-B939-AAFFBE16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438632"/>
        <c:axId val="832439712"/>
      </c:areaChart>
      <c:catAx>
        <c:axId val="83243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32439712"/>
        <c:crosses val="autoZero"/>
        <c:auto val="1"/>
        <c:lblAlgn val="ctr"/>
        <c:lblOffset val="100"/>
        <c:noMultiLvlLbl val="0"/>
      </c:catAx>
      <c:valAx>
        <c:axId val="8324397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2CEE8"/>
              </a:solidFill>
              <a:prstDash val="solid"/>
              <a:round/>
            </a:ln>
            <a:effectLst/>
          </c:spPr>
        </c:majorGridlines>
        <c:numFmt formatCode="#,##0&quot;万円&quot;;[Red]\-#,##0&quot;万円&quot;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32438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08991099481399"/>
          <c:y val="2.1707318227564098E-3"/>
          <c:w val="0.13910089005186016"/>
          <c:h val="0.86581263034609957"/>
        </c:manualLayout>
      </c:layout>
      <c:overlay val="0"/>
      <c:spPr>
        <a:solidFill>
          <a:srgbClr val="FFFFFF">
            <a:alpha val="50000"/>
          </a:srgb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800" b="1">
                <a:latin typeface="メイリオ" panose="020B0604030504040204" pitchFamily="50" charset="-128"/>
                <a:ea typeface="メイリオ" panose="020B0604030504040204" pitchFamily="50" charset="-128"/>
              </a:rPr>
              <a:t>収支推移</a:t>
            </a:r>
          </a:p>
        </c:rich>
      </c:tx>
      <c:layout>
        <c:manualLayout>
          <c:xMode val="edge"/>
          <c:yMode val="edge"/>
          <c:x val="0.425665699658604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61579245770101"/>
          <c:y val="7.3564602446483204E-2"/>
          <c:w val="0.73813645689419605"/>
          <c:h val="0.84513219928644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集計!$G$21</c:f>
              <c:strCache>
                <c:ptCount val="1"/>
                <c:pt idx="0">
                  <c:v>収入</c:v>
                </c:pt>
              </c:strCache>
            </c:strRef>
          </c:tx>
          <c:spPr>
            <a:solidFill>
              <a:srgbClr val="C2CEE8"/>
            </a:solidFill>
            <a:ln>
              <a:noFill/>
            </a:ln>
            <a:effectLst/>
          </c:spPr>
          <c:invertIfNegative val="0"/>
          <c:cat>
            <c:strRef>
              <c:f>集計!$H$20:$S$20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集計!$H$21:$S$21</c:f>
              <c:numCache>
                <c:formatCode>#,##0_);[Red]\(#,##0\)</c:formatCode>
                <c:ptCount val="12"/>
                <c:pt idx="0">
                  <c:v>60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83</c:v>
                </c:pt>
                <c:pt idx="6">
                  <c:v>45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7-432E-A624-79438832093E}"/>
            </c:ext>
          </c:extLst>
        </c:ser>
        <c:ser>
          <c:idx val="1"/>
          <c:order val="1"/>
          <c:tx>
            <c:strRef>
              <c:f>集計!$G$22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集計!$H$20:$S$20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集計!$H$22:$S$22</c:f>
              <c:numCache>
                <c:formatCode>#,##0_);[Red]\(#,##0\)</c:formatCode>
                <c:ptCount val="12"/>
                <c:pt idx="0">
                  <c:v>36</c:v>
                </c:pt>
                <c:pt idx="1">
                  <c:v>26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26</c:v>
                </c:pt>
                <c:pt idx="6">
                  <c:v>27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7-432E-A624-79438832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297176"/>
        <c:axId val="841293936"/>
      </c:barChart>
      <c:lineChart>
        <c:grouping val="standard"/>
        <c:varyColors val="0"/>
        <c:ser>
          <c:idx val="2"/>
          <c:order val="2"/>
          <c:tx>
            <c:strRef>
              <c:f>集計!$G$23</c:f>
              <c:strCache>
                <c:ptCount val="1"/>
                <c:pt idx="0">
                  <c:v>貯蓄率</c:v>
                </c:pt>
              </c:strCache>
            </c:strRef>
          </c:tx>
          <c:spPr>
            <a:ln w="12700" cap="rnd">
              <a:solidFill>
                <a:srgbClr val="7F7F7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7F7F"/>
              </a:solidFill>
              <a:ln w="9525">
                <a:noFill/>
              </a:ln>
              <a:effectLst/>
            </c:spPr>
          </c:marker>
          <c:cat>
            <c:strRef>
              <c:f>集計!$H$20:$S$20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集計!$H$23:$S$23</c:f>
              <c:numCache>
                <c:formatCode>0.0%</c:formatCode>
                <c:ptCount val="12"/>
                <c:pt idx="0">
                  <c:v>0.40500000000000003</c:v>
                </c:pt>
                <c:pt idx="1">
                  <c:v>0.43</c:v>
                </c:pt>
                <c:pt idx="2">
                  <c:v>0.42399999999999999</c:v>
                </c:pt>
                <c:pt idx="3">
                  <c:v>0.33600000000000002</c:v>
                </c:pt>
                <c:pt idx="4">
                  <c:v>0.15</c:v>
                </c:pt>
                <c:pt idx="5">
                  <c:v>0.69</c:v>
                </c:pt>
                <c:pt idx="6">
                  <c:v>0.39600000000000002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7-432E-A624-79438832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8192"/>
        <c:axId val="610972072"/>
      </c:lineChart>
      <c:catAx>
        <c:axId val="84129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1293936"/>
        <c:crosses val="autoZero"/>
        <c:auto val="1"/>
        <c:lblAlgn val="ctr"/>
        <c:lblOffset val="100"/>
        <c:noMultiLvlLbl val="0"/>
      </c:catAx>
      <c:valAx>
        <c:axId val="841293936"/>
        <c:scaling>
          <c:orientation val="minMax"/>
          <c:max val="100"/>
          <c:min val="0"/>
        </c:scaling>
        <c:delete val="0"/>
        <c:axPos val="l"/>
        <c:majorGridlines>
          <c:spPr>
            <a:ln w="6350" cap="flat" cmpd="sng" algn="ctr">
              <a:solidFill>
                <a:srgbClr val="C2CEE8"/>
              </a:solidFill>
              <a:round/>
            </a:ln>
            <a:effectLst/>
          </c:spPr>
        </c:majorGridlines>
        <c:numFmt formatCode="#,##0&quot;万円&quot;;[Red]\-#,##0&quot;万円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1297176"/>
        <c:crosses val="autoZero"/>
        <c:crossBetween val="between"/>
        <c:majorUnit val="20"/>
      </c:valAx>
      <c:catAx>
        <c:axId val="61097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972072"/>
        <c:crosses val="autoZero"/>
        <c:auto val="1"/>
        <c:lblAlgn val="ctr"/>
        <c:lblOffset val="100"/>
        <c:noMultiLvlLbl val="0"/>
      </c:catAx>
      <c:valAx>
        <c:axId val="610972072"/>
        <c:scaling>
          <c:orientation val="minMax"/>
          <c:max val="1"/>
          <c:min val="0"/>
        </c:scaling>
        <c:delete val="0"/>
        <c:axPos val="r"/>
        <c:numFmt formatCode="??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10978192"/>
        <c:crosses val="max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955813740119801"/>
          <c:y val="0.103708227594413"/>
          <c:w val="0.50059912688571595"/>
          <c:h val="8.8830179232089898E-2"/>
        </c:manualLayout>
      </c:layout>
      <c:overlay val="1"/>
      <c:spPr>
        <a:solidFill>
          <a:srgbClr val="FFFFFF">
            <a:alpha val="50000"/>
          </a:srgb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291352</xdr:colOff>
      <xdr:row>8</xdr:row>
      <xdr:rowOff>179293</xdr:rowOff>
    </xdr:from>
    <xdr:to>
      <xdr:col>3</xdr:col>
      <xdr:colOff>227866</xdr:colOff>
      <xdr:row>16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179293</xdr:rowOff>
    </xdr:from>
    <xdr:to>
      <xdr:col>4</xdr:col>
      <xdr:colOff>87</xdr:colOff>
      <xdr:row>33</xdr:row>
      <xdr:rowOff>12140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18</xdr:row>
      <xdr:rowOff>59869</xdr:rowOff>
    </xdr:from>
    <xdr:to>
      <xdr:col>19</xdr:col>
      <xdr:colOff>878</xdr:colOff>
      <xdr:row>36</xdr:row>
      <xdr:rowOff>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</xdr:row>
      <xdr:rowOff>57149</xdr:rowOff>
    </xdr:from>
    <xdr:to>
      <xdr:col>15</xdr:col>
      <xdr:colOff>0</xdr:colOff>
      <xdr:row>16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11</xdr:col>
      <xdr:colOff>3324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7"/>
  <sheetViews>
    <sheetView showGridLines="0" showRowColHeaders="0" tabSelected="1" zoomScaleNormal="100" zoomScaleSheetLayoutView="85" workbookViewId="0">
      <selection sqref="A1:B1"/>
    </sheetView>
  </sheetViews>
  <sheetFormatPr defaultColWidth="9.28515625" defaultRowHeight="15" x14ac:dyDescent="0.35"/>
  <cols>
    <col min="1" max="1" width="4.7109375" style="43" customWidth="1"/>
    <col min="2" max="2" width="6.7109375" style="43" customWidth="1"/>
    <col min="3" max="3" width="9.7109375" style="43" customWidth="1"/>
    <col min="4" max="5" width="3.7109375" style="43" customWidth="1"/>
    <col min="6" max="6" width="9.28515625" style="43"/>
    <col min="7" max="8" width="9.28515625" style="43" customWidth="1"/>
    <col min="9" max="10" width="9.28515625" style="43"/>
    <col min="11" max="11" width="9.28515625" style="43" customWidth="1"/>
    <col min="12" max="12" width="3.7109375" style="43" customWidth="1"/>
    <col min="13" max="14" width="9.28515625" style="43" customWidth="1"/>
    <col min="15" max="15" width="9.28515625" style="43"/>
    <col min="16" max="16" width="3.7109375" style="43" customWidth="1"/>
    <col min="17" max="18" width="9.28515625" style="43"/>
    <col min="19" max="19" width="11.42578125" style="43" customWidth="1"/>
    <col min="20" max="20" width="3.7109375" style="43" customWidth="1"/>
    <col min="21" max="16384" width="9.28515625" style="43"/>
  </cols>
  <sheetData>
    <row r="1" spans="1:20" s="42" customFormat="1" ht="19.5" x14ac:dyDescent="0.45">
      <c r="A1" s="117">
        <f>入力!B1</f>
        <v>2025</v>
      </c>
      <c r="B1" s="117"/>
      <c r="C1" s="47">
        <v>7</v>
      </c>
      <c r="D1" s="48" t="s">
        <v>0</v>
      </c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42" customFormat="1" x14ac:dyDescent="0.35">
      <c r="A2" s="50"/>
      <c r="B2" s="51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s="42" customFormat="1" ht="5.0999999999999996" customHeight="1" x14ac:dyDescent="0.3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s="42" customFormat="1" ht="14.45" customHeight="1" x14ac:dyDescent="0.35">
      <c r="A4" s="52"/>
      <c r="B4" s="115" t="s">
        <v>110</v>
      </c>
      <c r="C4" s="115"/>
      <c r="D4" s="115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115" t="s">
        <v>2</v>
      </c>
      <c r="R4" s="115"/>
      <c r="S4" s="115"/>
      <c r="T4" s="52"/>
    </row>
    <row r="5" spans="1:20" s="42" customFormat="1" ht="14.45" customHeight="1" x14ac:dyDescent="0.35">
      <c r="A5" s="52"/>
      <c r="B5" s="118">
        <f>集計!C3</f>
        <v>5479410</v>
      </c>
      <c r="C5" s="118"/>
      <c r="D5" s="11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 t="str">
        <f>集計!B109</f>
        <v>現預金</v>
      </c>
      <c r="R5" s="53" t="str">
        <f>集計!C109</f>
        <v>〇〇銀行</v>
      </c>
      <c r="S5" s="54">
        <f>集計!D109</f>
        <v>1861248</v>
      </c>
      <c r="T5" s="52"/>
    </row>
    <row r="6" spans="1:20" s="42" customFormat="1" ht="14.45" customHeight="1" x14ac:dyDescent="0.35">
      <c r="A6" s="52"/>
      <c r="B6" s="55" t="str">
        <f>"前月差 "</f>
        <v xml:space="preserve">前月差 </v>
      </c>
      <c r="C6" s="119">
        <f>IFERROR(IF(OR(集計!C3=0,集計!C4=0),"",集計!C3-集計!C4),"")</f>
        <v>597355</v>
      </c>
      <c r="D6" s="119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6" t="str">
        <f>集計!B110</f>
        <v>投資信託</v>
      </c>
      <c r="R6" s="56" t="str">
        <f>集計!C110</f>
        <v>NISA</v>
      </c>
      <c r="S6" s="57">
        <f>集計!D110</f>
        <v>2610334</v>
      </c>
      <c r="T6" s="52"/>
    </row>
    <row r="7" spans="1:20" s="42" customFormat="1" ht="14.45" customHeight="1" x14ac:dyDescent="0.35">
      <c r="A7" s="52"/>
      <c r="B7" s="56" t="str">
        <f>集計!E3</f>
        <v>資産</v>
      </c>
      <c r="C7" s="113">
        <f>集計!F3</f>
        <v>6764354</v>
      </c>
      <c r="D7" s="113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6" t="str">
        <f>集計!B111</f>
        <v>年金</v>
      </c>
      <c r="R7" s="56" t="str">
        <f>集計!C111</f>
        <v>iDeCo</v>
      </c>
      <c r="S7" s="57">
        <f>集計!D111</f>
        <v>1274839</v>
      </c>
      <c r="T7" s="52"/>
    </row>
    <row r="8" spans="1:20" s="42" customFormat="1" ht="14.45" customHeight="1" x14ac:dyDescent="0.35">
      <c r="A8" s="52"/>
      <c r="B8" s="56" t="str">
        <f>集計!E4</f>
        <v>負債</v>
      </c>
      <c r="C8" s="114">
        <f>集計!F4</f>
        <v>-1284944</v>
      </c>
      <c r="D8" s="114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6" t="str">
        <f>集計!B112</f>
        <v>株式</v>
      </c>
      <c r="R8" s="56" t="str">
        <f>集計!C112</f>
        <v>〇〇証券</v>
      </c>
      <c r="S8" s="57">
        <f>集計!D112</f>
        <v>1017933</v>
      </c>
      <c r="T8" s="52"/>
    </row>
    <row r="9" spans="1:20" s="42" customFormat="1" ht="14.45" customHeight="1" x14ac:dyDescent="0.3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6" t="str">
        <f>集計!B113</f>
        <v>負債</v>
      </c>
      <c r="R9" s="56" t="str">
        <f>集計!C113</f>
        <v>奨学金</v>
      </c>
      <c r="S9" s="57">
        <f>集計!D113</f>
        <v>-1101801</v>
      </c>
      <c r="T9" s="52"/>
    </row>
    <row r="10" spans="1:20" s="42" customFormat="1" ht="14.45" customHeight="1" x14ac:dyDescent="0.3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6" t="str">
        <f>集計!B114</f>
        <v>負債</v>
      </c>
      <c r="R10" s="56" t="str">
        <f>集計!C114</f>
        <v>〇〇カード</v>
      </c>
      <c r="S10" s="57">
        <f>集計!D114</f>
        <v>-183143</v>
      </c>
      <c r="T10" s="52"/>
    </row>
    <row r="11" spans="1:20" s="42" customFormat="1" ht="14.45" customHeight="1" x14ac:dyDescent="0.3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6" t="str">
        <f>集計!B115</f>
        <v/>
      </c>
      <c r="R11" s="56" t="str">
        <f>集計!C115</f>
        <v/>
      </c>
      <c r="S11" s="57">
        <f>集計!D115</f>
        <v>0</v>
      </c>
      <c r="T11" s="52"/>
    </row>
    <row r="12" spans="1:20" s="42" customFormat="1" ht="14.45" customHeight="1" x14ac:dyDescent="0.3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6" t="str">
        <f>集計!B116</f>
        <v/>
      </c>
      <c r="R12" s="56" t="str">
        <f>集計!C116</f>
        <v/>
      </c>
      <c r="S12" s="57">
        <f>集計!D116</f>
        <v>0</v>
      </c>
      <c r="T12" s="52"/>
    </row>
    <row r="13" spans="1:20" s="42" customFormat="1" ht="14.45" customHeight="1" x14ac:dyDescent="0.3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6" t="str">
        <f>集計!B117</f>
        <v/>
      </c>
      <c r="R13" s="56" t="str">
        <f>集計!C117</f>
        <v/>
      </c>
      <c r="S13" s="57">
        <f>集計!D117</f>
        <v>0</v>
      </c>
      <c r="T13" s="52"/>
    </row>
    <row r="14" spans="1:20" s="42" customFormat="1" ht="14.45" customHeight="1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6" t="str">
        <f>集計!B118</f>
        <v/>
      </c>
      <c r="R14" s="56" t="str">
        <f>集計!C118</f>
        <v/>
      </c>
      <c r="S14" s="57">
        <f>集計!D118</f>
        <v>0</v>
      </c>
      <c r="T14" s="52"/>
    </row>
    <row r="15" spans="1:20" s="42" customFormat="1" ht="14.45" customHeight="1" x14ac:dyDescent="0.3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99" t="str">
        <f>IF($C$1="","",$A$1&amp;"は"&amp;$C$1&amp;$D$1&amp;"までに、")</f>
        <v>2025は7月までに、</v>
      </c>
      <c r="R15" s="96"/>
      <c r="S15" s="97"/>
      <c r="T15" s="52"/>
    </row>
    <row r="16" spans="1:20" s="42" customFormat="1" ht="14.45" customHeight="1" x14ac:dyDescent="0.3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60" t="str">
        <f>IFERROR(ABS(集計!$I$4)&amp;"万円","")</f>
        <v>230万円</v>
      </c>
      <c r="R16" s="61" t="str">
        <f>IFERROR(" 総資産が"&amp;IF(集計!I4&lt;0,"減少しました。","増加しました。"),"")</f>
        <v xml:space="preserve"> 総資産が増加しました。</v>
      </c>
      <c r="S16" s="98"/>
      <c r="T16" s="52"/>
    </row>
    <row r="17" spans="1:20" s="42" customFormat="1" ht="10.15" customHeight="1" x14ac:dyDescent="0.3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s="42" customFormat="1" x14ac:dyDescent="0.35">
      <c r="A18" s="50"/>
      <c r="B18" s="51" t="s">
        <v>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s="42" customFormat="1" ht="5.0999999999999996" customHeight="1" x14ac:dyDescent="0.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0" s="42" customFormat="1" ht="14.45" customHeight="1" x14ac:dyDescent="0.35">
      <c r="A20" s="52"/>
      <c r="B20" s="115" t="str">
        <f>集計!$B$1&amp;"月の家計簿"</f>
        <v>7月の家計簿</v>
      </c>
      <c r="C20" s="115"/>
      <c r="D20" s="115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s="42" customFormat="1" ht="14.45" customHeight="1" x14ac:dyDescent="0.35">
      <c r="A21" s="52"/>
      <c r="B21" s="53" t="str">
        <f>集計!B21</f>
        <v>収入</v>
      </c>
      <c r="C21" s="116">
        <f>IFERROR(集計!D21,"")</f>
        <v>451364</v>
      </c>
      <c r="D21" s="116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s="42" customFormat="1" ht="14.45" customHeight="1" x14ac:dyDescent="0.35">
      <c r="A22" s="52"/>
      <c r="B22" s="58" t="str">
        <f>集計!B22</f>
        <v>支出</v>
      </c>
      <c r="C22" s="110">
        <f>IFERROR(-集計!D22,"")</f>
        <v>-272841</v>
      </c>
      <c r="D22" s="11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s="42" customFormat="1" ht="14.45" customHeight="1" x14ac:dyDescent="0.35">
      <c r="A23" s="52"/>
      <c r="B23" s="59" t="str">
        <f>集計!B23</f>
        <v>収支</v>
      </c>
      <c r="C23" s="111">
        <f>IFERROR(集計!D23,"")</f>
        <v>178523</v>
      </c>
      <c r="D23" s="11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20" s="42" customFormat="1" ht="5.0999999999999996" customHeight="1" x14ac:dyDescent="0.35">
      <c r="A24" s="52"/>
      <c r="B24" s="60"/>
      <c r="C24" s="61"/>
      <c r="D24" s="6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s="42" customFormat="1" ht="14.45" customHeight="1" x14ac:dyDescent="0.35">
      <c r="A25" s="52"/>
      <c r="B25" s="62" t="str">
        <f>集計!B24</f>
        <v>貯蓄率</v>
      </c>
      <c r="C25" s="112">
        <f>集計!D24</f>
        <v>0.39600000000000002</v>
      </c>
      <c r="D25" s="11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0" s="42" customFormat="1" ht="14.45" customHeight="1" x14ac:dyDescent="0.3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s="42" customFormat="1" ht="14.45" customHeight="1" x14ac:dyDescent="0.3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s="42" customFormat="1" ht="14.45" customHeight="1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s="42" customFormat="1" ht="14.45" customHeight="1" x14ac:dyDescent="0.3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s="42" customFormat="1" ht="14.45" customHeight="1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s="42" customFormat="1" ht="14.45" customHeight="1" x14ac:dyDescent="0.3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s="42" customFormat="1" ht="14.45" customHeight="1" x14ac:dyDescent="0.3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s="42" customFormat="1" ht="14.45" customHeight="1" x14ac:dyDescent="0.3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s="42" customFormat="1" ht="14.45" customHeight="1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s="42" customFormat="1" ht="14.45" customHeight="1" x14ac:dyDescent="0.35">
      <c r="A35" s="52"/>
      <c r="B35" s="52" t="str">
        <f>$C$1&amp;"月までの累計貯蓄率は、"</f>
        <v>7月までの累計貯蓄率は、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s="42" customFormat="1" ht="14.45" customHeight="1" x14ac:dyDescent="0.35">
      <c r="A36" s="52"/>
      <c r="B36" s="52"/>
      <c r="C36" s="63">
        <f>集計!$T$23</f>
        <v>0.434</v>
      </c>
      <c r="D36" s="52" t="s">
        <v>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s="42" customFormat="1" ht="5.0999999999999996" customHeight="1" x14ac:dyDescent="0.3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</sheetData>
  <sheetProtection algorithmName="SHA-512" hashValue="PeokPrIfjReHqHeD4LG4bgz2ICDvElz+GAU72Gm3UNsO1cUbWj+tCmtzYqJizB/q1XaMdYJhJivL7hCPxn4dSg==" saltValue="HeWNdjeulc1V/JeLxNPCPA==" spinCount="100000" sheet="1" objects="1" scenarios="1" formatCells="0"/>
  <mergeCells count="12">
    <mergeCell ref="A1:B1"/>
    <mergeCell ref="B4:D4"/>
    <mergeCell ref="Q4:S4"/>
    <mergeCell ref="B5:D5"/>
    <mergeCell ref="C6:D6"/>
    <mergeCell ref="C22:D22"/>
    <mergeCell ref="C23:D23"/>
    <mergeCell ref="C25:D25"/>
    <mergeCell ref="C7:D7"/>
    <mergeCell ref="C8:D8"/>
    <mergeCell ref="B20:D20"/>
    <mergeCell ref="C21:D21"/>
  </mergeCells>
  <phoneticPr fontId="10"/>
  <conditionalFormatting sqref="B7:C8">
    <cfRule type="expression" dxfId="10" priority="7">
      <formula>$C$8=0</formula>
    </cfRule>
  </conditionalFormatting>
  <conditionalFormatting sqref="Q5:S14">
    <cfRule type="expression" dxfId="6" priority="9">
      <formula>AND($Q5="",$R5="")</formula>
    </cfRule>
  </conditionalFormatting>
  <dataValidations count="1">
    <dataValidation type="whole" allowBlank="1" showInputMessage="1" showErrorMessage="1" error="1から12までの整数を入力してください。" sqref="C1" xr:uid="{00000000-0002-0000-0000-000000000000}">
      <formula1>1</formula1>
      <formula2>12</formula2>
    </dataValidation>
  </dataValidations>
  <printOptions horizontalCentered="1" verticalCentered="1"/>
  <pageMargins left="0.23622047244094499" right="0.23622047244094499" top="0.55118110236220497" bottom="0.55118110236220497" header="0.31496062992126" footer="0.31496062992126"/>
  <pageSetup paperSize="9"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0000-000E-0000-0000-000001000000}">
            <xm:f>集計!$C$4=0</xm:f>
            <x14:dxf>
              <font>
                <color rgb="FFE7E6E6"/>
              </font>
              <fill>
                <patternFill patternType="solid">
                  <bgColor rgb="FFE7E6E6"/>
                </patternFill>
              </fill>
            </x14:dxf>
          </x14:cfRule>
          <xm:sqref>B6:D6</xm:sqref>
        </x14:conditionalFormatting>
        <x14:conditionalFormatting xmlns:xm="http://schemas.microsoft.com/office/excel/2006/main">
          <x14:cfRule type="expression" priority="1" id="{C1D38789-601F-48DC-9780-C9A85B9EC9B4}">
            <xm:f>集計!$I$4&lt;0</xm:f>
            <x14:dxf>
              <font>
                <color rgb="FFFF0000"/>
              </font>
            </x14:dxf>
          </x14:cfRule>
          <xm:sqref>Q16</xm:sqref>
        </x14:conditionalFormatting>
        <x14:conditionalFormatting xmlns:xm="http://schemas.microsoft.com/office/excel/2006/main">
          <x14:cfRule type="expression" priority="2" id="{8556B5E3-5646-48ED-9F2E-FB730A4CE096}">
            <xm:f>集計!$I$4=""</xm:f>
            <x14:dxf>
              <font>
                <color rgb="FFE7E6E6"/>
              </font>
            </x14:dxf>
          </x14:cfRule>
          <xm:sqref>Q15:R16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80"/>
  <sheetViews>
    <sheetView showGridLines="0" zoomScaleSheetLayoutView="70" workbookViewId="0">
      <pane ySplit="4" topLeftCell="A5" activePane="bottomLeft" state="frozen"/>
      <selection pane="bottomLeft" activeCell="A5" sqref="A5"/>
    </sheetView>
  </sheetViews>
  <sheetFormatPr defaultColWidth="9.28515625" defaultRowHeight="16.5" x14ac:dyDescent="0.35"/>
  <cols>
    <col min="1" max="1" width="3.7109375" style="67" customWidth="1"/>
    <col min="2" max="2" width="15.7109375" style="67" customWidth="1"/>
    <col min="3" max="3" width="12.7109375" style="67" customWidth="1"/>
    <col min="4" max="4" width="15.7109375" style="67" customWidth="1"/>
    <col min="5" max="5" width="0.85546875" style="69" customWidth="1"/>
    <col min="6" max="17" width="14.28515625" style="67" customWidth="1"/>
    <col min="18" max="18" width="0.85546875" style="69" customWidth="1"/>
    <col min="19" max="21" width="15.7109375" style="67" customWidth="1"/>
    <col min="22" max="23" width="12.7109375" style="67" customWidth="1"/>
    <col min="24" max="16384" width="9.28515625" style="67"/>
  </cols>
  <sheetData>
    <row r="1" spans="1:21" x14ac:dyDescent="0.4">
      <c r="A1" s="64"/>
      <c r="B1" s="65">
        <v>2025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3" spans="1:21" x14ac:dyDescent="0.35">
      <c r="B3" s="68" t="s">
        <v>5</v>
      </c>
      <c r="D3" s="105"/>
    </row>
    <row r="4" spans="1:21" x14ac:dyDescent="0.35">
      <c r="B4" s="70" t="s">
        <v>6</v>
      </c>
      <c r="C4" s="70" t="s">
        <v>0</v>
      </c>
      <c r="D4" s="71" t="str">
        <f>SUBSTITUTE(一覧!$A$1,"年","")-1&amp;"年末"</f>
        <v>2024年末</v>
      </c>
      <c r="F4" s="71" t="s">
        <v>7</v>
      </c>
      <c r="G4" s="71" t="s">
        <v>8</v>
      </c>
      <c r="H4" s="71" t="s">
        <v>9</v>
      </c>
      <c r="I4" s="71" t="s">
        <v>10</v>
      </c>
      <c r="J4" s="71" t="s">
        <v>11</v>
      </c>
      <c r="K4" s="71" t="s">
        <v>12</v>
      </c>
      <c r="L4" s="71" t="s">
        <v>13</v>
      </c>
      <c r="M4" s="71" t="s">
        <v>14</v>
      </c>
      <c r="N4" s="71" t="s">
        <v>15</v>
      </c>
      <c r="O4" s="71" t="s">
        <v>16</v>
      </c>
      <c r="P4" s="71" t="s">
        <v>17</v>
      </c>
      <c r="Q4" s="71" t="s">
        <v>18</v>
      </c>
      <c r="S4" s="72" t="s">
        <v>19</v>
      </c>
      <c r="T4" s="72"/>
      <c r="U4" s="72"/>
    </row>
    <row r="5" spans="1:21" x14ac:dyDescent="0.35">
      <c r="B5" s="73" t="s">
        <v>20</v>
      </c>
      <c r="C5" s="73" t="s">
        <v>21</v>
      </c>
      <c r="D5" s="74">
        <f>SUM(D6:D15)</f>
        <v>3175792</v>
      </c>
      <c r="E5" s="75"/>
      <c r="F5" s="74">
        <f t="shared" ref="F5:Q5" si="0">SUM(F6:F15)</f>
        <v>3727724</v>
      </c>
      <c r="G5" s="74">
        <f t="shared" si="0"/>
        <v>4059485</v>
      </c>
      <c r="H5" s="74">
        <f t="shared" si="0"/>
        <v>4399006</v>
      </c>
      <c r="I5" s="74">
        <f t="shared" si="0"/>
        <v>4562239</v>
      </c>
      <c r="J5" s="74">
        <f t="shared" si="0"/>
        <v>4822657</v>
      </c>
      <c r="K5" s="74">
        <f t="shared" si="0"/>
        <v>4882055</v>
      </c>
      <c r="L5" s="74">
        <f t="shared" si="0"/>
        <v>5479410</v>
      </c>
      <c r="M5" s="74">
        <f t="shared" si="0"/>
        <v>5622976</v>
      </c>
      <c r="N5" s="74">
        <f t="shared" si="0"/>
        <v>5868940</v>
      </c>
      <c r="O5" s="74">
        <f t="shared" si="0"/>
        <v>6212026</v>
      </c>
      <c r="P5" s="74">
        <f t="shared" si="0"/>
        <v>6408590</v>
      </c>
      <c r="Q5" s="74">
        <f t="shared" si="0"/>
        <v>6400551</v>
      </c>
      <c r="S5" s="45"/>
      <c r="T5" s="45"/>
      <c r="U5" s="45"/>
    </row>
    <row r="6" spans="1:21" x14ac:dyDescent="0.35">
      <c r="B6" s="100" t="s">
        <v>22</v>
      </c>
      <c r="C6" s="41" t="s">
        <v>38</v>
      </c>
      <c r="D6" s="76">
        <v>1699077</v>
      </c>
      <c r="E6" s="75"/>
      <c r="F6" s="76">
        <v>2066477</v>
      </c>
      <c r="G6" s="76">
        <v>2039825</v>
      </c>
      <c r="H6" s="76">
        <v>1963521</v>
      </c>
      <c r="I6" s="76">
        <v>1883939</v>
      </c>
      <c r="J6" s="76">
        <v>1763557</v>
      </c>
      <c r="K6" s="76">
        <v>1558830</v>
      </c>
      <c r="L6" s="76">
        <v>1861248</v>
      </c>
      <c r="M6" s="76">
        <v>1766250</v>
      </c>
      <c r="N6" s="76">
        <v>1662341</v>
      </c>
      <c r="O6" s="76">
        <v>1542123</v>
      </c>
      <c r="P6" s="76">
        <v>1458212</v>
      </c>
      <c r="Q6" s="76">
        <v>1285497</v>
      </c>
      <c r="S6" s="106"/>
      <c r="T6" s="77"/>
      <c r="U6" s="77"/>
    </row>
    <row r="7" spans="1:21" x14ac:dyDescent="0.35">
      <c r="B7" s="100" t="s">
        <v>39</v>
      </c>
      <c r="C7" s="41" t="s">
        <v>40</v>
      </c>
      <c r="D7" s="76">
        <v>1992943</v>
      </c>
      <c r="E7" s="75"/>
      <c r="F7" s="76">
        <v>2057867</v>
      </c>
      <c r="G7" s="76">
        <v>2217754</v>
      </c>
      <c r="H7" s="76">
        <v>2325475</v>
      </c>
      <c r="I7" s="76">
        <v>2422947</v>
      </c>
      <c r="J7" s="76">
        <v>2563960</v>
      </c>
      <c r="K7" s="76">
        <v>2597459</v>
      </c>
      <c r="L7" s="76">
        <v>2610334</v>
      </c>
      <c r="M7" s="76">
        <v>2682775</v>
      </c>
      <c r="N7" s="76">
        <v>2812885</v>
      </c>
      <c r="O7" s="76">
        <v>2936978</v>
      </c>
      <c r="P7" s="76">
        <v>2958727</v>
      </c>
      <c r="Q7" s="76">
        <v>2976870</v>
      </c>
      <c r="S7" s="107"/>
      <c r="T7" s="77"/>
      <c r="U7" s="77"/>
    </row>
    <row r="8" spans="1:21" x14ac:dyDescent="0.35">
      <c r="B8" s="100" t="s">
        <v>41</v>
      </c>
      <c r="C8" s="100" t="s">
        <v>33</v>
      </c>
      <c r="D8" s="76">
        <v>807584</v>
      </c>
      <c r="E8" s="75"/>
      <c r="F8" s="76">
        <v>876638</v>
      </c>
      <c r="G8" s="76">
        <v>912626</v>
      </c>
      <c r="H8" s="76">
        <v>1052518</v>
      </c>
      <c r="I8" s="76">
        <v>1075811</v>
      </c>
      <c r="J8" s="76">
        <v>1113144</v>
      </c>
      <c r="K8" s="76">
        <v>1135758</v>
      </c>
      <c r="L8" s="76">
        <v>1274839</v>
      </c>
      <c r="M8" s="76">
        <v>1227199</v>
      </c>
      <c r="N8" s="76">
        <v>1269299</v>
      </c>
      <c r="O8" s="76">
        <v>1408086</v>
      </c>
      <c r="P8" s="76">
        <v>1501076</v>
      </c>
      <c r="Q8" s="76">
        <v>1522242</v>
      </c>
      <c r="S8" s="107"/>
      <c r="T8" s="77"/>
      <c r="U8" s="77"/>
    </row>
    <row r="9" spans="1:21" x14ac:dyDescent="0.35">
      <c r="B9" s="41" t="s">
        <v>42</v>
      </c>
      <c r="C9" s="100" t="s">
        <v>43</v>
      </c>
      <c r="D9" s="76">
        <v>0</v>
      </c>
      <c r="E9" s="75"/>
      <c r="F9" s="76">
        <v>107465</v>
      </c>
      <c r="G9" s="76">
        <v>251012</v>
      </c>
      <c r="H9" s="76">
        <v>406329</v>
      </c>
      <c r="I9" s="76">
        <v>514589</v>
      </c>
      <c r="J9" s="76">
        <v>699574</v>
      </c>
      <c r="K9" s="76">
        <v>889785</v>
      </c>
      <c r="L9" s="76">
        <v>1017933</v>
      </c>
      <c r="M9" s="76">
        <v>1220299</v>
      </c>
      <c r="N9" s="76">
        <v>1385771</v>
      </c>
      <c r="O9" s="76">
        <v>1573238</v>
      </c>
      <c r="P9" s="76">
        <v>1719162</v>
      </c>
      <c r="Q9" s="76">
        <v>1825714</v>
      </c>
      <c r="S9" s="107"/>
      <c r="T9" s="77"/>
      <c r="U9" s="77"/>
    </row>
    <row r="10" spans="1:21" x14ac:dyDescent="0.35">
      <c r="B10" s="100" t="s">
        <v>45</v>
      </c>
      <c r="C10" s="100" t="s">
        <v>46</v>
      </c>
      <c r="D10" s="76">
        <v>-1178178</v>
      </c>
      <c r="E10" s="75"/>
      <c r="F10" s="76">
        <v>-1167267</v>
      </c>
      <c r="G10" s="76">
        <v>-1156356</v>
      </c>
      <c r="H10" s="76">
        <v>-1145445</v>
      </c>
      <c r="I10" s="76">
        <v>-1134534</v>
      </c>
      <c r="J10" s="76">
        <v>-1123623</v>
      </c>
      <c r="K10" s="76">
        <v>-1112712</v>
      </c>
      <c r="L10" s="76">
        <v>-1101801</v>
      </c>
      <c r="M10" s="76">
        <v>-1090890</v>
      </c>
      <c r="N10" s="76">
        <v>-1079979</v>
      </c>
      <c r="O10" s="76">
        <v>-1069068</v>
      </c>
      <c r="P10" s="76">
        <v>-1058157</v>
      </c>
      <c r="Q10" s="76">
        <v>-1047246</v>
      </c>
      <c r="S10" s="107"/>
      <c r="T10" s="77"/>
      <c r="U10" s="77"/>
    </row>
    <row r="11" spans="1:21" x14ac:dyDescent="0.35">
      <c r="B11" s="100" t="s">
        <v>45</v>
      </c>
      <c r="C11" s="41" t="s">
        <v>47</v>
      </c>
      <c r="D11" s="76">
        <v>-145634</v>
      </c>
      <c r="E11" s="75"/>
      <c r="F11" s="76">
        <v>-213456</v>
      </c>
      <c r="G11" s="76">
        <v>-205376</v>
      </c>
      <c r="H11" s="76">
        <v>-203392</v>
      </c>
      <c r="I11" s="76">
        <v>-200513</v>
      </c>
      <c r="J11" s="76">
        <v>-193955</v>
      </c>
      <c r="K11" s="76">
        <v>-187065</v>
      </c>
      <c r="L11" s="76">
        <v>-183143</v>
      </c>
      <c r="M11" s="76">
        <v>-182657</v>
      </c>
      <c r="N11" s="76">
        <v>-181377</v>
      </c>
      <c r="O11" s="76">
        <v>-179331</v>
      </c>
      <c r="P11" s="76">
        <v>-170430</v>
      </c>
      <c r="Q11" s="76">
        <v>-162526</v>
      </c>
      <c r="S11" s="107"/>
      <c r="T11" s="77"/>
      <c r="U11" s="77"/>
    </row>
    <row r="12" spans="1:21" x14ac:dyDescent="0.35">
      <c r="B12" s="100"/>
      <c r="C12" s="41"/>
      <c r="D12" s="76"/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S12" s="107"/>
      <c r="T12" s="77"/>
      <c r="U12" s="77"/>
    </row>
    <row r="13" spans="1:21" x14ac:dyDescent="0.35">
      <c r="B13" s="100"/>
      <c r="C13" s="104"/>
      <c r="D13" s="78"/>
      <c r="E13" s="75"/>
      <c r="F13" s="78"/>
      <c r="G13" s="78"/>
      <c r="H13" s="78"/>
      <c r="I13" s="76"/>
      <c r="J13" s="78"/>
      <c r="K13" s="78"/>
      <c r="L13" s="78"/>
      <c r="M13" s="78"/>
      <c r="N13" s="78"/>
      <c r="O13" s="78"/>
      <c r="P13" s="78"/>
      <c r="Q13" s="78"/>
      <c r="S13" s="108"/>
      <c r="T13" s="79"/>
      <c r="U13" s="79"/>
    </row>
    <row r="14" spans="1:21" x14ac:dyDescent="0.35">
      <c r="B14" s="100"/>
      <c r="C14" s="104"/>
      <c r="D14" s="78"/>
      <c r="E14" s="7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S14" s="108"/>
      <c r="T14" s="79"/>
      <c r="U14" s="79"/>
    </row>
    <row r="15" spans="1:21" x14ac:dyDescent="0.35">
      <c r="B15" s="101"/>
      <c r="C15" s="101"/>
      <c r="D15" s="81"/>
      <c r="E15" s="7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S15" s="109"/>
      <c r="T15" s="82"/>
      <c r="U15" s="82"/>
    </row>
    <row r="17" spans="2:23" x14ac:dyDescent="0.35">
      <c r="B17" s="68" t="s">
        <v>23</v>
      </c>
    </row>
    <row r="18" spans="2:23" x14ac:dyDescent="0.35">
      <c r="B18" s="70" t="s">
        <v>6</v>
      </c>
      <c r="C18" s="72" t="s">
        <v>0</v>
      </c>
      <c r="D18" s="72"/>
      <c r="F18" s="70" t="str">
        <f t="shared" ref="F18:Q18" si="1">F4</f>
        <v>1月</v>
      </c>
      <c r="G18" s="70" t="str">
        <f t="shared" si="1"/>
        <v>2月</v>
      </c>
      <c r="H18" s="70" t="str">
        <f t="shared" si="1"/>
        <v>3月</v>
      </c>
      <c r="I18" s="70" t="str">
        <f t="shared" si="1"/>
        <v>4月</v>
      </c>
      <c r="J18" s="70" t="str">
        <f t="shared" si="1"/>
        <v>5月</v>
      </c>
      <c r="K18" s="70" t="str">
        <f t="shared" si="1"/>
        <v>6月</v>
      </c>
      <c r="L18" s="70" t="str">
        <f t="shared" si="1"/>
        <v>7月</v>
      </c>
      <c r="M18" s="70" t="str">
        <f t="shared" si="1"/>
        <v>8月</v>
      </c>
      <c r="N18" s="70" t="str">
        <f t="shared" si="1"/>
        <v>9月</v>
      </c>
      <c r="O18" s="70" t="str">
        <f t="shared" si="1"/>
        <v>10月</v>
      </c>
      <c r="P18" s="70" t="str">
        <f t="shared" si="1"/>
        <v>11月</v>
      </c>
      <c r="Q18" s="70" t="str">
        <f t="shared" si="1"/>
        <v>12月</v>
      </c>
      <c r="S18" s="70" t="s">
        <v>24</v>
      </c>
      <c r="T18" s="7" t="s">
        <v>111</v>
      </c>
      <c r="U18" s="70" t="s">
        <v>19</v>
      </c>
      <c r="V18" s="69"/>
      <c r="W18" s="69"/>
    </row>
    <row r="19" spans="2:23" x14ac:dyDescent="0.35">
      <c r="B19" s="73" t="s">
        <v>20</v>
      </c>
      <c r="C19" s="83" t="s">
        <v>25</v>
      </c>
      <c r="D19" s="83"/>
      <c r="F19" s="74">
        <f t="shared" ref="F19:Q19" si="2">SUM(F20:F29)</f>
        <v>601110</v>
      </c>
      <c r="G19" s="74">
        <f t="shared" si="2"/>
        <v>451100</v>
      </c>
      <c r="H19" s="74">
        <f t="shared" si="2"/>
        <v>451130</v>
      </c>
      <c r="I19" s="74">
        <f t="shared" si="2"/>
        <v>451552</v>
      </c>
      <c r="J19" s="74">
        <f t="shared" si="2"/>
        <v>451073</v>
      </c>
      <c r="K19" s="74">
        <f t="shared" si="2"/>
        <v>833271</v>
      </c>
      <c r="L19" s="74">
        <f t="shared" si="2"/>
        <v>451364</v>
      </c>
      <c r="M19" s="74">
        <f t="shared" si="2"/>
        <v>471044</v>
      </c>
      <c r="N19" s="74">
        <f t="shared" si="2"/>
        <v>451189</v>
      </c>
      <c r="O19" s="74">
        <f t="shared" si="2"/>
        <v>451116</v>
      </c>
      <c r="P19" s="74">
        <f t="shared" si="2"/>
        <v>451516</v>
      </c>
      <c r="Q19" s="74">
        <f t="shared" si="2"/>
        <v>901647</v>
      </c>
      <c r="S19" s="74">
        <f t="shared" ref="S19:S20" si="3">IF(SUM(F19:R19)=0,"",SUM(F19:R19))</f>
        <v>6417112</v>
      </c>
      <c r="T19" s="74">
        <f>IFERROR(ROUND(AVERAGE(F19:Q19),0),"")</f>
        <v>534759</v>
      </c>
      <c r="U19" s="84"/>
      <c r="V19" s="69"/>
      <c r="W19" s="69"/>
    </row>
    <row r="20" spans="2:23" x14ac:dyDescent="0.35">
      <c r="B20" s="41" t="s">
        <v>27</v>
      </c>
      <c r="C20" s="120" t="s">
        <v>114</v>
      </c>
      <c r="D20" s="85"/>
      <c r="F20" s="76">
        <v>232706</v>
      </c>
      <c r="G20" s="76">
        <v>233050</v>
      </c>
      <c r="H20" s="76">
        <v>232639</v>
      </c>
      <c r="I20" s="76">
        <v>233476</v>
      </c>
      <c r="J20" s="76">
        <v>233080</v>
      </c>
      <c r="K20" s="76">
        <v>233091</v>
      </c>
      <c r="L20" s="76">
        <v>233292</v>
      </c>
      <c r="M20" s="76">
        <v>233140</v>
      </c>
      <c r="N20" s="76">
        <v>233071</v>
      </c>
      <c r="O20" s="76">
        <v>232787</v>
      </c>
      <c r="P20" s="76">
        <v>233492</v>
      </c>
      <c r="Q20" s="76">
        <v>233436</v>
      </c>
      <c r="S20" s="86">
        <f t="shared" si="3"/>
        <v>2797260</v>
      </c>
      <c r="T20" s="86">
        <f t="shared" ref="T20:T80" si="4">IFERROR(ROUND(AVERAGE(F20:Q20),0),"")</f>
        <v>233105</v>
      </c>
      <c r="U20" s="46"/>
      <c r="V20" s="69"/>
      <c r="W20" s="69"/>
    </row>
    <row r="21" spans="2:23" x14ac:dyDescent="0.35">
      <c r="B21" s="41" t="s">
        <v>26</v>
      </c>
      <c r="C21" s="120" t="s">
        <v>115</v>
      </c>
      <c r="D21" s="85"/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382327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410154</v>
      </c>
      <c r="S21" s="86">
        <f t="shared" ref="S21:S80" si="5">IF(SUM(F21:R21)=0,"",SUM(F21:R21))</f>
        <v>792481</v>
      </c>
      <c r="T21" s="86">
        <f t="shared" si="4"/>
        <v>66040</v>
      </c>
      <c r="U21" s="95"/>
      <c r="V21" s="69"/>
      <c r="W21" s="69"/>
    </row>
    <row r="22" spans="2:23" x14ac:dyDescent="0.35">
      <c r="B22" s="41" t="s">
        <v>27</v>
      </c>
      <c r="C22" s="120" t="s">
        <v>116</v>
      </c>
      <c r="D22" s="85"/>
      <c r="F22" s="76">
        <v>218404</v>
      </c>
      <c r="G22" s="76">
        <v>218050</v>
      </c>
      <c r="H22" s="76">
        <v>218491</v>
      </c>
      <c r="I22" s="76">
        <v>218076</v>
      </c>
      <c r="J22" s="76">
        <v>217993</v>
      </c>
      <c r="K22" s="76">
        <v>217853</v>
      </c>
      <c r="L22" s="76">
        <v>218072</v>
      </c>
      <c r="M22" s="76">
        <v>217904</v>
      </c>
      <c r="N22" s="76">
        <v>218118</v>
      </c>
      <c r="O22" s="76">
        <v>218329</v>
      </c>
      <c r="P22" s="76">
        <v>218024</v>
      </c>
      <c r="Q22" s="76">
        <v>218057</v>
      </c>
      <c r="S22" s="86">
        <f t="shared" si="5"/>
        <v>2617371</v>
      </c>
      <c r="T22" s="86">
        <f t="shared" si="4"/>
        <v>218114</v>
      </c>
      <c r="U22" s="46"/>
      <c r="V22" s="69"/>
      <c r="W22" s="69"/>
    </row>
    <row r="23" spans="2:23" x14ac:dyDescent="0.35">
      <c r="B23" s="41" t="s">
        <v>37</v>
      </c>
      <c r="C23" s="85" t="s">
        <v>37</v>
      </c>
      <c r="D23" s="85"/>
      <c r="F23" s="76">
        <v>150000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20000</v>
      </c>
      <c r="N23" s="76">
        <v>0</v>
      </c>
      <c r="O23" s="76">
        <v>0</v>
      </c>
      <c r="P23" s="76">
        <v>0</v>
      </c>
      <c r="Q23" s="76">
        <v>40000</v>
      </c>
      <c r="S23" s="86">
        <f t="shared" si="5"/>
        <v>210000</v>
      </c>
      <c r="T23" s="86">
        <f t="shared" si="4"/>
        <v>17500</v>
      </c>
      <c r="U23" s="46"/>
      <c r="V23" s="69"/>
      <c r="W23" s="69"/>
    </row>
    <row r="24" spans="2:23" x14ac:dyDescent="0.35">
      <c r="B24" s="41"/>
      <c r="C24" s="85"/>
      <c r="D24" s="8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S24" s="86" t="str">
        <f t="shared" si="5"/>
        <v/>
      </c>
      <c r="T24" s="86" t="str">
        <f t="shared" si="4"/>
        <v/>
      </c>
      <c r="U24" s="46"/>
      <c r="V24" s="69"/>
      <c r="W24" s="69"/>
    </row>
    <row r="25" spans="2:23" x14ac:dyDescent="0.35">
      <c r="B25" s="41"/>
      <c r="C25" s="85"/>
      <c r="D25" s="8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S25" s="86" t="str">
        <f t="shared" ref="S25:S26" si="6">IF(SUM(F25:R25)=0,"",SUM(F25:R25))</f>
        <v/>
      </c>
      <c r="T25" s="86" t="str">
        <f t="shared" si="4"/>
        <v/>
      </c>
      <c r="U25" s="46"/>
      <c r="V25" s="69"/>
      <c r="W25" s="69"/>
    </row>
    <row r="26" spans="2:23" x14ac:dyDescent="0.35">
      <c r="B26" s="41"/>
      <c r="C26" s="85"/>
      <c r="D26" s="8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S26" s="86" t="str">
        <f t="shared" si="6"/>
        <v/>
      </c>
      <c r="T26" s="86" t="str">
        <f t="shared" si="4"/>
        <v/>
      </c>
      <c r="U26" s="46"/>
      <c r="V26" s="69"/>
      <c r="W26" s="69"/>
    </row>
    <row r="27" spans="2:23" x14ac:dyDescent="0.35">
      <c r="B27" s="41"/>
      <c r="C27" s="85"/>
      <c r="D27" s="85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S27" s="86" t="str">
        <f t="shared" ref="S27:S29" si="7">IF(SUM(F27:R27)=0,"",SUM(F27:R27))</f>
        <v/>
      </c>
      <c r="T27" s="86" t="str">
        <f t="shared" si="4"/>
        <v/>
      </c>
      <c r="U27" s="46"/>
      <c r="V27" s="69"/>
      <c r="W27" s="69"/>
    </row>
    <row r="28" spans="2:23" x14ac:dyDescent="0.35">
      <c r="B28" s="41"/>
      <c r="C28" s="85"/>
      <c r="D28" s="85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S28" s="86" t="str">
        <f t="shared" si="7"/>
        <v/>
      </c>
      <c r="T28" s="86" t="str">
        <f t="shared" si="4"/>
        <v/>
      </c>
      <c r="U28" s="46"/>
      <c r="V28" s="69"/>
      <c r="W28" s="69"/>
    </row>
    <row r="29" spans="2:23" x14ac:dyDescent="0.35">
      <c r="B29" s="41"/>
      <c r="C29" s="85"/>
      <c r="D29" s="85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S29" s="86" t="str">
        <f t="shared" si="7"/>
        <v/>
      </c>
      <c r="T29" s="86" t="str">
        <f t="shared" si="4"/>
        <v/>
      </c>
      <c r="U29" s="46"/>
      <c r="V29" s="69"/>
      <c r="W29" s="69"/>
    </row>
    <row r="30" spans="2:23" x14ac:dyDescent="0.35">
      <c r="B30" s="73" t="s">
        <v>20</v>
      </c>
      <c r="C30" s="83" t="s">
        <v>28</v>
      </c>
      <c r="D30" s="83"/>
      <c r="F30" s="74">
        <f t="shared" ref="F30:Q30" si="8">SUM(F31:F80)</f>
        <v>357855</v>
      </c>
      <c r="G30" s="74">
        <f t="shared" si="8"/>
        <v>257232</v>
      </c>
      <c r="H30" s="74">
        <f t="shared" si="8"/>
        <v>259873</v>
      </c>
      <c r="I30" s="74">
        <f t="shared" si="8"/>
        <v>300026</v>
      </c>
      <c r="J30" s="74">
        <f t="shared" si="8"/>
        <v>383623</v>
      </c>
      <c r="K30" s="74">
        <f t="shared" si="8"/>
        <v>258005</v>
      </c>
      <c r="L30" s="74">
        <f t="shared" si="8"/>
        <v>272841</v>
      </c>
      <c r="M30" s="74">
        <f t="shared" si="8"/>
        <v>300757</v>
      </c>
      <c r="N30" s="74">
        <f t="shared" si="8"/>
        <v>296535</v>
      </c>
      <c r="O30" s="74">
        <f t="shared" si="8"/>
        <v>259477</v>
      </c>
      <c r="P30" s="74">
        <f t="shared" si="8"/>
        <v>348000</v>
      </c>
      <c r="Q30" s="74">
        <f t="shared" si="8"/>
        <v>391477</v>
      </c>
      <c r="S30" s="74">
        <f t="shared" si="5"/>
        <v>3685701</v>
      </c>
      <c r="T30" s="74">
        <f t="shared" si="4"/>
        <v>307142</v>
      </c>
      <c r="U30" s="87"/>
      <c r="V30" s="69"/>
      <c r="W30" s="69"/>
    </row>
    <row r="31" spans="2:23" x14ac:dyDescent="0.35">
      <c r="B31" s="41" t="s">
        <v>31</v>
      </c>
      <c r="C31" s="85" t="s">
        <v>32</v>
      </c>
      <c r="D31" s="85"/>
      <c r="F31" s="76">
        <v>126000</v>
      </c>
      <c r="G31" s="76">
        <v>126000</v>
      </c>
      <c r="H31" s="76">
        <v>126000</v>
      </c>
      <c r="I31" s="76">
        <v>126000</v>
      </c>
      <c r="J31" s="76">
        <v>126000</v>
      </c>
      <c r="K31" s="76">
        <v>126000</v>
      </c>
      <c r="L31" s="76">
        <v>126000</v>
      </c>
      <c r="M31" s="76">
        <v>126000</v>
      </c>
      <c r="N31" s="76">
        <v>126000</v>
      </c>
      <c r="O31" s="76">
        <v>126000</v>
      </c>
      <c r="P31" s="76">
        <v>126000</v>
      </c>
      <c r="Q31" s="76">
        <v>126000</v>
      </c>
      <c r="S31" s="86">
        <f t="shared" si="5"/>
        <v>1512000</v>
      </c>
      <c r="T31" s="86">
        <f t="shared" si="4"/>
        <v>126000</v>
      </c>
      <c r="U31" s="46"/>
      <c r="V31" s="69"/>
      <c r="W31" s="69"/>
    </row>
    <row r="32" spans="2:23" x14ac:dyDescent="0.35">
      <c r="B32" s="41" t="s">
        <v>31</v>
      </c>
      <c r="C32" s="85" t="s">
        <v>52</v>
      </c>
      <c r="D32" s="85"/>
      <c r="F32" s="76">
        <v>1500</v>
      </c>
      <c r="G32" s="76">
        <v>1500</v>
      </c>
      <c r="H32" s="76">
        <v>1500</v>
      </c>
      <c r="I32" s="76">
        <v>1500</v>
      </c>
      <c r="J32" s="76">
        <v>1500</v>
      </c>
      <c r="K32" s="76">
        <v>1500</v>
      </c>
      <c r="L32" s="76">
        <v>1500</v>
      </c>
      <c r="M32" s="76">
        <v>1500</v>
      </c>
      <c r="N32" s="76">
        <v>1500</v>
      </c>
      <c r="O32" s="76">
        <v>1500</v>
      </c>
      <c r="P32" s="76">
        <v>1500</v>
      </c>
      <c r="Q32" s="76">
        <v>1500</v>
      </c>
      <c r="S32" s="86">
        <f t="shared" si="5"/>
        <v>18000</v>
      </c>
      <c r="T32" s="86">
        <f t="shared" si="4"/>
        <v>1500</v>
      </c>
      <c r="U32" s="46"/>
      <c r="V32" s="69"/>
      <c r="W32" s="69"/>
    </row>
    <row r="33" spans="2:23" x14ac:dyDescent="0.35">
      <c r="B33" s="44" t="s">
        <v>53</v>
      </c>
      <c r="C33" s="85" t="s">
        <v>54</v>
      </c>
      <c r="D33" s="85"/>
      <c r="F33" s="78">
        <v>7056</v>
      </c>
      <c r="G33" s="78">
        <v>6794</v>
      </c>
      <c r="H33" s="78">
        <v>6662</v>
      </c>
      <c r="I33" s="78">
        <v>5981</v>
      </c>
      <c r="J33" s="78">
        <v>5578</v>
      </c>
      <c r="K33" s="78">
        <v>6362</v>
      </c>
      <c r="L33" s="78">
        <v>5816</v>
      </c>
      <c r="M33" s="78">
        <v>7055</v>
      </c>
      <c r="N33" s="78">
        <v>7786</v>
      </c>
      <c r="O33" s="78">
        <v>7308</v>
      </c>
      <c r="P33" s="78">
        <v>6171</v>
      </c>
      <c r="Q33" s="78">
        <v>5504</v>
      </c>
      <c r="S33" s="88">
        <f t="shared" si="5"/>
        <v>78073</v>
      </c>
      <c r="T33" s="88">
        <f t="shared" si="4"/>
        <v>6506</v>
      </c>
      <c r="U33" s="89"/>
      <c r="V33" s="69"/>
      <c r="W33" s="69"/>
    </row>
    <row r="34" spans="2:23" x14ac:dyDescent="0.35">
      <c r="B34" s="41" t="s">
        <v>53</v>
      </c>
      <c r="C34" s="85" t="s">
        <v>56</v>
      </c>
      <c r="D34" s="85"/>
      <c r="F34" s="78">
        <v>5995</v>
      </c>
      <c r="G34" s="78">
        <v>5676</v>
      </c>
      <c r="H34" s="78">
        <v>5283</v>
      </c>
      <c r="I34" s="78">
        <v>4203</v>
      </c>
      <c r="J34" s="78">
        <v>4155</v>
      </c>
      <c r="K34" s="78">
        <v>3646</v>
      </c>
      <c r="L34" s="78">
        <v>4162</v>
      </c>
      <c r="M34" s="78">
        <v>3590</v>
      </c>
      <c r="N34" s="78">
        <v>3695</v>
      </c>
      <c r="O34" s="78">
        <v>4258</v>
      </c>
      <c r="P34" s="78">
        <v>5242</v>
      </c>
      <c r="Q34" s="78">
        <v>6182</v>
      </c>
      <c r="S34" s="88">
        <f t="shared" si="5"/>
        <v>56087</v>
      </c>
      <c r="T34" s="88">
        <f t="shared" si="4"/>
        <v>4674</v>
      </c>
      <c r="U34" s="89"/>
      <c r="V34" s="69"/>
      <c r="W34" s="69"/>
    </row>
    <row r="35" spans="2:23" x14ac:dyDescent="0.35">
      <c r="B35" s="41" t="s">
        <v>53</v>
      </c>
      <c r="C35" s="85" t="s">
        <v>58</v>
      </c>
      <c r="D35" s="85"/>
      <c r="F35" s="78">
        <v>0</v>
      </c>
      <c r="G35" s="78">
        <v>4661</v>
      </c>
      <c r="H35" s="78">
        <v>0</v>
      </c>
      <c r="I35" s="78">
        <v>5482</v>
      </c>
      <c r="J35" s="78">
        <v>0</v>
      </c>
      <c r="K35" s="78">
        <v>5389</v>
      </c>
      <c r="L35" s="78">
        <v>0</v>
      </c>
      <c r="M35" s="78">
        <v>4959</v>
      </c>
      <c r="N35" s="78">
        <v>0</v>
      </c>
      <c r="O35" s="78">
        <v>4610</v>
      </c>
      <c r="P35" s="78">
        <v>0</v>
      </c>
      <c r="Q35" s="78">
        <v>5023</v>
      </c>
      <c r="S35" s="88">
        <f t="shared" si="5"/>
        <v>30124</v>
      </c>
      <c r="T35" s="88">
        <f t="shared" si="4"/>
        <v>2510</v>
      </c>
      <c r="U35" s="89"/>
      <c r="V35" s="69"/>
      <c r="W35" s="69"/>
    </row>
    <row r="36" spans="2:23" x14ac:dyDescent="0.35">
      <c r="B36" s="44" t="s">
        <v>59</v>
      </c>
      <c r="C36" s="85" t="s">
        <v>60</v>
      </c>
      <c r="D36" s="85"/>
      <c r="F36" s="78">
        <v>3771</v>
      </c>
      <c r="G36" s="78">
        <v>4002</v>
      </c>
      <c r="H36" s="78">
        <v>4253</v>
      </c>
      <c r="I36" s="78">
        <v>4443</v>
      </c>
      <c r="J36" s="78">
        <v>3588</v>
      </c>
      <c r="K36" s="78">
        <v>4398</v>
      </c>
      <c r="L36" s="78">
        <v>3645</v>
      </c>
      <c r="M36" s="78">
        <v>4457</v>
      </c>
      <c r="N36" s="78">
        <v>3527</v>
      </c>
      <c r="O36" s="78">
        <v>4329</v>
      </c>
      <c r="P36" s="78">
        <v>3784</v>
      </c>
      <c r="Q36" s="78">
        <v>3577</v>
      </c>
      <c r="S36" s="88">
        <f t="shared" si="5"/>
        <v>47774</v>
      </c>
      <c r="T36" s="88">
        <f t="shared" si="4"/>
        <v>3981</v>
      </c>
      <c r="U36" s="89"/>
      <c r="V36" s="69"/>
      <c r="W36" s="69"/>
    </row>
    <row r="37" spans="2:23" x14ac:dyDescent="0.35">
      <c r="B37" s="44" t="s">
        <v>59</v>
      </c>
      <c r="C37" s="85" t="s">
        <v>62</v>
      </c>
      <c r="D37" s="85"/>
      <c r="F37" s="78">
        <v>4500</v>
      </c>
      <c r="G37" s="78">
        <v>4500</v>
      </c>
      <c r="H37" s="78">
        <v>4500</v>
      </c>
      <c r="I37" s="78">
        <v>4500</v>
      </c>
      <c r="J37" s="78">
        <v>4500</v>
      </c>
      <c r="K37" s="78">
        <v>4500</v>
      </c>
      <c r="L37" s="78">
        <v>4500</v>
      </c>
      <c r="M37" s="78">
        <v>4500</v>
      </c>
      <c r="N37" s="78">
        <v>4500</v>
      </c>
      <c r="O37" s="78">
        <v>4500</v>
      </c>
      <c r="P37" s="78">
        <v>4500</v>
      </c>
      <c r="Q37" s="78">
        <v>4500</v>
      </c>
      <c r="S37" s="88">
        <f t="shared" si="5"/>
        <v>54000</v>
      </c>
      <c r="T37" s="88">
        <f t="shared" si="4"/>
        <v>4500</v>
      </c>
      <c r="U37" s="89"/>
      <c r="V37" s="69"/>
      <c r="W37" s="69"/>
    </row>
    <row r="38" spans="2:23" x14ac:dyDescent="0.35">
      <c r="B38" s="44" t="s">
        <v>64</v>
      </c>
      <c r="C38" s="85" t="s">
        <v>65</v>
      </c>
      <c r="D38" s="85"/>
      <c r="F38" s="78">
        <v>18000</v>
      </c>
      <c r="G38" s="78">
        <v>18000</v>
      </c>
      <c r="H38" s="78">
        <v>18000</v>
      </c>
      <c r="I38" s="78">
        <v>18000</v>
      </c>
      <c r="J38" s="78">
        <v>18000</v>
      </c>
      <c r="K38" s="78">
        <v>18000</v>
      </c>
      <c r="L38" s="78">
        <v>18000</v>
      </c>
      <c r="M38" s="78">
        <v>18000</v>
      </c>
      <c r="N38" s="78">
        <v>18000</v>
      </c>
      <c r="O38" s="78">
        <v>18000</v>
      </c>
      <c r="P38" s="78">
        <v>18000</v>
      </c>
      <c r="Q38" s="78">
        <v>18000</v>
      </c>
      <c r="S38" s="88">
        <f t="shared" si="5"/>
        <v>216000</v>
      </c>
      <c r="T38" s="88">
        <f t="shared" si="4"/>
        <v>18000</v>
      </c>
      <c r="U38" s="89"/>
      <c r="V38" s="69"/>
      <c r="W38" s="69"/>
    </row>
    <row r="39" spans="2:23" x14ac:dyDescent="0.35">
      <c r="B39" s="41" t="s">
        <v>66</v>
      </c>
      <c r="C39" s="85" t="s">
        <v>67</v>
      </c>
      <c r="D39" s="85"/>
      <c r="F39" s="76">
        <v>1500</v>
      </c>
      <c r="G39" s="76">
        <v>1500</v>
      </c>
      <c r="H39" s="76">
        <v>1500</v>
      </c>
      <c r="I39" s="76">
        <v>1500</v>
      </c>
      <c r="J39" s="76">
        <v>4200</v>
      </c>
      <c r="K39" s="76">
        <v>1500</v>
      </c>
      <c r="L39" s="76">
        <v>1500</v>
      </c>
      <c r="M39" s="76">
        <v>1500</v>
      </c>
      <c r="N39" s="76">
        <v>3300</v>
      </c>
      <c r="O39" s="76">
        <v>1500</v>
      </c>
      <c r="P39" s="76">
        <v>1500</v>
      </c>
      <c r="Q39" s="76">
        <v>1500</v>
      </c>
      <c r="S39" s="88">
        <f t="shared" si="5"/>
        <v>22500</v>
      </c>
      <c r="T39" s="88">
        <f t="shared" si="4"/>
        <v>1875</v>
      </c>
      <c r="U39" s="89"/>
      <c r="V39" s="69"/>
      <c r="W39" s="69"/>
    </row>
    <row r="40" spans="2:23" x14ac:dyDescent="0.35">
      <c r="B40" s="41" t="s">
        <v>66</v>
      </c>
      <c r="C40" s="85" t="s">
        <v>68</v>
      </c>
      <c r="D40" s="85"/>
      <c r="F40" s="78">
        <v>11000</v>
      </c>
      <c r="G40" s="78">
        <v>11000</v>
      </c>
      <c r="H40" s="78">
        <v>11000</v>
      </c>
      <c r="I40" s="78">
        <v>11000</v>
      </c>
      <c r="J40" s="78">
        <v>11000</v>
      </c>
      <c r="K40" s="78">
        <v>11000</v>
      </c>
      <c r="L40" s="78">
        <v>11000</v>
      </c>
      <c r="M40" s="78">
        <v>11000</v>
      </c>
      <c r="N40" s="78">
        <v>11000</v>
      </c>
      <c r="O40" s="78">
        <v>11000</v>
      </c>
      <c r="P40" s="78">
        <v>11000</v>
      </c>
      <c r="Q40" s="78">
        <v>11000</v>
      </c>
      <c r="S40" s="88">
        <f t="shared" si="5"/>
        <v>132000</v>
      </c>
      <c r="T40" s="88">
        <f t="shared" si="4"/>
        <v>11000</v>
      </c>
      <c r="U40" s="89"/>
      <c r="V40" s="69"/>
      <c r="W40" s="69"/>
    </row>
    <row r="41" spans="2:23" x14ac:dyDescent="0.35">
      <c r="B41" s="44" t="s">
        <v>34</v>
      </c>
      <c r="C41" s="85" t="s">
        <v>69</v>
      </c>
      <c r="D41" s="85"/>
      <c r="F41" s="78">
        <v>35555</v>
      </c>
      <c r="G41" s="78">
        <v>36629</v>
      </c>
      <c r="H41" s="78">
        <v>41448</v>
      </c>
      <c r="I41" s="78">
        <v>37524</v>
      </c>
      <c r="J41" s="78">
        <v>41817</v>
      </c>
      <c r="K41" s="78">
        <v>37580</v>
      </c>
      <c r="L41" s="78">
        <v>37595</v>
      </c>
      <c r="M41" s="78">
        <v>41286</v>
      </c>
      <c r="N41" s="78">
        <v>38176</v>
      </c>
      <c r="O41" s="78">
        <v>36261</v>
      </c>
      <c r="P41" s="78">
        <v>40577</v>
      </c>
      <c r="Q41" s="78">
        <v>41600</v>
      </c>
      <c r="S41" s="88">
        <f t="shared" si="5"/>
        <v>466048</v>
      </c>
      <c r="T41" s="88">
        <f t="shared" si="4"/>
        <v>38837</v>
      </c>
      <c r="U41" s="89"/>
      <c r="V41" s="69"/>
      <c r="W41" s="69"/>
    </row>
    <row r="42" spans="2:23" x14ac:dyDescent="0.35">
      <c r="B42" s="41" t="s">
        <v>34</v>
      </c>
      <c r="C42" s="85" t="s">
        <v>36</v>
      </c>
      <c r="D42" s="85"/>
      <c r="F42" s="78">
        <v>39700</v>
      </c>
      <c r="G42" s="78">
        <v>9700</v>
      </c>
      <c r="H42" s="78">
        <v>9600</v>
      </c>
      <c r="I42" s="78">
        <v>10400</v>
      </c>
      <c r="J42" s="78">
        <v>40000</v>
      </c>
      <c r="K42" s="78">
        <v>10400</v>
      </c>
      <c r="L42" s="78">
        <v>9700</v>
      </c>
      <c r="M42" s="78">
        <v>39900</v>
      </c>
      <c r="N42" s="78">
        <v>39500</v>
      </c>
      <c r="O42" s="78">
        <v>20100</v>
      </c>
      <c r="P42" s="78">
        <v>9700</v>
      </c>
      <c r="Q42" s="78">
        <v>40000</v>
      </c>
      <c r="S42" s="88">
        <f t="shared" si="5"/>
        <v>278700</v>
      </c>
      <c r="T42" s="88">
        <f t="shared" si="4"/>
        <v>23225</v>
      </c>
      <c r="U42" s="89"/>
      <c r="V42" s="69"/>
      <c r="W42" s="69"/>
    </row>
    <row r="43" spans="2:23" x14ac:dyDescent="0.35">
      <c r="B43" s="90" t="s">
        <v>30</v>
      </c>
      <c r="C43" s="85" t="s">
        <v>70</v>
      </c>
      <c r="D43" s="85"/>
      <c r="F43" s="78">
        <v>4951</v>
      </c>
      <c r="G43" s="78">
        <v>853</v>
      </c>
      <c r="H43" s="78">
        <v>4660</v>
      </c>
      <c r="I43" s="78">
        <v>0</v>
      </c>
      <c r="J43" s="78">
        <v>3229</v>
      </c>
      <c r="K43" s="78">
        <v>5006</v>
      </c>
      <c r="L43" s="78">
        <v>2564</v>
      </c>
      <c r="M43" s="78">
        <v>0</v>
      </c>
      <c r="N43" s="78">
        <v>319</v>
      </c>
      <c r="O43" s="78">
        <v>1172</v>
      </c>
      <c r="P43" s="78">
        <v>279</v>
      </c>
      <c r="Q43" s="78">
        <v>0</v>
      </c>
      <c r="S43" s="88">
        <f t="shared" si="5"/>
        <v>23033</v>
      </c>
      <c r="T43" s="88">
        <f t="shared" si="4"/>
        <v>1919</v>
      </c>
      <c r="U43" s="89"/>
      <c r="V43" s="69"/>
      <c r="W43" s="69"/>
    </row>
    <row r="44" spans="2:23" x14ac:dyDescent="0.35">
      <c r="B44" s="90" t="s">
        <v>30</v>
      </c>
      <c r="C44" s="85" t="s">
        <v>30</v>
      </c>
      <c r="D44" s="85"/>
      <c r="F44" s="78">
        <v>8486</v>
      </c>
      <c r="G44" s="78">
        <v>4794</v>
      </c>
      <c r="H44" s="78">
        <v>2446</v>
      </c>
      <c r="I44" s="78">
        <v>9137</v>
      </c>
      <c r="J44" s="78">
        <v>353</v>
      </c>
      <c r="K44" s="78">
        <v>2732</v>
      </c>
      <c r="L44" s="78">
        <v>8777</v>
      </c>
      <c r="M44" s="78">
        <v>4944</v>
      </c>
      <c r="N44" s="78">
        <v>1987</v>
      </c>
      <c r="O44" s="78">
        <v>3633</v>
      </c>
      <c r="P44" s="78">
        <v>4921</v>
      </c>
      <c r="Q44" s="78">
        <v>4347</v>
      </c>
      <c r="S44" s="88">
        <f t="shared" si="5"/>
        <v>56557</v>
      </c>
      <c r="T44" s="88">
        <f t="shared" si="4"/>
        <v>4713</v>
      </c>
      <c r="U44" s="89"/>
      <c r="V44" s="69"/>
      <c r="W44" s="69"/>
    </row>
    <row r="45" spans="2:23" x14ac:dyDescent="0.35">
      <c r="B45" s="44" t="s">
        <v>71</v>
      </c>
      <c r="C45" s="85" t="s">
        <v>72</v>
      </c>
      <c r="D45" s="85"/>
      <c r="F45" s="78">
        <v>20642</v>
      </c>
      <c r="G45" s="78">
        <v>6621</v>
      </c>
      <c r="H45" s="78">
        <v>0</v>
      </c>
      <c r="I45" s="78">
        <v>4302</v>
      </c>
      <c r="J45" s="78">
        <v>0</v>
      </c>
      <c r="K45" s="78">
        <v>0</v>
      </c>
      <c r="L45" s="78">
        <v>0</v>
      </c>
      <c r="M45" s="78">
        <v>4517</v>
      </c>
      <c r="N45" s="78">
        <v>17470</v>
      </c>
      <c r="O45" s="78">
        <v>0</v>
      </c>
      <c r="P45" s="78">
        <v>0</v>
      </c>
      <c r="Q45" s="78">
        <v>20390</v>
      </c>
      <c r="S45" s="86">
        <f t="shared" si="5"/>
        <v>73942</v>
      </c>
      <c r="T45" s="86">
        <f t="shared" si="4"/>
        <v>6162</v>
      </c>
      <c r="U45" s="46"/>
      <c r="V45" s="69"/>
      <c r="W45" s="69"/>
    </row>
    <row r="46" spans="2:23" x14ac:dyDescent="0.35">
      <c r="B46" s="41" t="s">
        <v>71</v>
      </c>
      <c r="C46" s="85" t="s">
        <v>73</v>
      </c>
      <c r="D46" s="85"/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30000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S46" s="86">
        <f t="shared" si="5"/>
        <v>30000</v>
      </c>
      <c r="T46" s="86">
        <f t="shared" si="4"/>
        <v>2500</v>
      </c>
      <c r="U46" s="46"/>
      <c r="V46" s="69"/>
      <c r="W46" s="69"/>
    </row>
    <row r="47" spans="2:23" x14ac:dyDescent="0.35">
      <c r="B47" s="41" t="s">
        <v>29</v>
      </c>
      <c r="C47" s="85" t="s">
        <v>74</v>
      </c>
      <c r="D47" s="85"/>
      <c r="F47" s="78">
        <v>6669</v>
      </c>
      <c r="G47" s="78">
        <v>3102</v>
      </c>
      <c r="H47" s="78">
        <v>2921</v>
      </c>
      <c r="I47" s="78">
        <v>7154</v>
      </c>
      <c r="J47" s="78">
        <v>1502</v>
      </c>
      <c r="K47" s="78">
        <v>4292</v>
      </c>
      <c r="L47" s="78">
        <v>5982</v>
      </c>
      <c r="M47" s="78">
        <v>179</v>
      </c>
      <c r="N47" s="78">
        <v>5875</v>
      </c>
      <c r="O47" s="78">
        <v>4666</v>
      </c>
      <c r="P47" s="78">
        <v>1103</v>
      </c>
      <c r="Q47" s="78">
        <v>5354</v>
      </c>
      <c r="S47" s="88">
        <f t="shared" si="5"/>
        <v>48799</v>
      </c>
      <c r="T47" s="88">
        <f t="shared" si="4"/>
        <v>4067</v>
      </c>
      <c r="U47" s="89"/>
      <c r="V47" s="69"/>
      <c r="W47" s="69"/>
    </row>
    <row r="48" spans="2:23" x14ac:dyDescent="0.35">
      <c r="B48" s="44" t="s">
        <v>29</v>
      </c>
      <c r="C48" s="85" t="s">
        <v>75</v>
      </c>
      <c r="D48" s="85"/>
      <c r="F48" s="78">
        <v>1800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990</v>
      </c>
      <c r="N48" s="78">
        <v>0</v>
      </c>
      <c r="O48" s="78">
        <v>0</v>
      </c>
      <c r="P48" s="78">
        <v>0</v>
      </c>
      <c r="Q48" s="78">
        <v>1580</v>
      </c>
      <c r="S48" s="88">
        <f t="shared" si="5"/>
        <v>4370</v>
      </c>
      <c r="T48" s="88">
        <f t="shared" si="4"/>
        <v>364</v>
      </c>
      <c r="U48" s="89"/>
      <c r="V48" s="69"/>
      <c r="W48" s="69"/>
    </row>
    <row r="49" spans="2:23" x14ac:dyDescent="0.35">
      <c r="B49" s="41" t="s">
        <v>29</v>
      </c>
      <c r="C49" s="85" t="s">
        <v>76</v>
      </c>
      <c r="D49" s="85"/>
      <c r="F49" s="78">
        <v>0</v>
      </c>
      <c r="G49" s="78">
        <v>0</v>
      </c>
      <c r="H49" s="78">
        <v>0</v>
      </c>
      <c r="I49" s="78">
        <v>0</v>
      </c>
      <c r="J49" s="78">
        <v>99051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103903</v>
      </c>
      <c r="Q49" s="78">
        <v>0</v>
      </c>
      <c r="S49" s="86">
        <f t="shared" si="5"/>
        <v>202954</v>
      </c>
      <c r="T49" s="86">
        <f t="shared" si="4"/>
        <v>16913</v>
      </c>
      <c r="U49" s="46"/>
      <c r="V49" s="69"/>
      <c r="W49" s="69"/>
    </row>
    <row r="50" spans="2:23" x14ac:dyDescent="0.35">
      <c r="B50" s="41" t="s">
        <v>35</v>
      </c>
      <c r="C50" s="85" t="s">
        <v>77</v>
      </c>
      <c r="D50" s="85"/>
      <c r="F50" s="78">
        <v>6500</v>
      </c>
      <c r="G50" s="78">
        <v>5900</v>
      </c>
      <c r="H50" s="78">
        <v>9500</v>
      </c>
      <c r="I50" s="78">
        <v>9800</v>
      </c>
      <c r="J50" s="78">
        <v>8200</v>
      </c>
      <c r="K50" s="78">
        <v>8400</v>
      </c>
      <c r="L50" s="78">
        <v>500</v>
      </c>
      <c r="M50" s="78">
        <v>8400</v>
      </c>
      <c r="N50" s="78">
        <v>5300</v>
      </c>
      <c r="O50" s="78">
        <v>800</v>
      </c>
      <c r="P50" s="78">
        <v>2300</v>
      </c>
      <c r="Q50" s="78">
        <v>9600</v>
      </c>
      <c r="S50" s="86">
        <f t="shared" si="5"/>
        <v>75200</v>
      </c>
      <c r="T50" s="86">
        <f t="shared" si="4"/>
        <v>6267</v>
      </c>
      <c r="U50" s="46"/>
      <c r="V50" s="69"/>
      <c r="W50" s="69"/>
    </row>
    <row r="51" spans="2:23" x14ac:dyDescent="0.35">
      <c r="B51" s="44" t="s">
        <v>35</v>
      </c>
      <c r="C51" s="85" t="s">
        <v>78</v>
      </c>
      <c r="D51" s="85"/>
      <c r="F51" s="78">
        <v>5500</v>
      </c>
      <c r="G51" s="78">
        <v>6000</v>
      </c>
      <c r="H51" s="78">
        <v>5500</v>
      </c>
      <c r="I51" s="78">
        <v>0</v>
      </c>
      <c r="J51" s="78">
        <v>6000</v>
      </c>
      <c r="K51" s="78">
        <v>5500</v>
      </c>
      <c r="L51" s="78">
        <v>0</v>
      </c>
      <c r="M51" s="78">
        <v>11500</v>
      </c>
      <c r="N51" s="78">
        <v>0</v>
      </c>
      <c r="O51" s="78">
        <v>0</v>
      </c>
      <c r="P51" s="78">
        <v>5500</v>
      </c>
      <c r="Q51" s="78">
        <v>6000</v>
      </c>
      <c r="S51" s="86">
        <f t="shared" si="5"/>
        <v>51500</v>
      </c>
      <c r="T51" s="86">
        <f t="shared" si="4"/>
        <v>4292</v>
      </c>
      <c r="U51" s="46"/>
      <c r="V51" s="69"/>
      <c r="W51" s="69"/>
    </row>
    <row r="52" spans="2:23" x14ac:dyDescent="0.35">
      <c r="B52" s="41" t="s">
        <v>35</v>
      </c>
      <c r="C52" s="85" t="s">
        <v>79</v>
      </c>
      <c r="D52" s="85"/>
      <c r="F52" s="78">
        <v>3400</v>
      </c>
      <c r="G52" s="78">
        <v>0</v>
      </c>
      <c r="H52" s="78">
        <v>5100</v>
      </c>
      <c r="I52" s="78">
        <v>2100</v>
      </c>
      <c r="J52" s="78">
        <v>0</v>
      </c>
      <c r="K52" s="78">
        <v>1800</v>
      </c>
      <c r="L52" s="78">
        <v>1600</v>
      </c>
      <c r="M52" s="78">
        <v>2600</v>
      </c>
      <c r="N52" s="78">
        <v>4100</v>
      </c>
      <c r="O52" s="78">
        <v>3400</v>
      </c>
      <c r="P52" s="78">
        <v>0</v>
      </c>
      <c r="Q52" s="78">
        <v>0</v>
      </c>
      <c r="S52" s="86">
        <f t="shared" si="5"/>
        <v>24100</v>
      </c>
      <c r="T52" s="86">
        <f t="shared" si="4"/>
        <v>2008</v>
      </c>
      <c r="U52" s="46"/>
      <c r="V52" s="69"/>
      <c r="W52" s="69"/>
    </row>
    <row r="53" spans="2:23" x14ac:dyDescent="0.35">
      <c r="B53" s="41" t="s">
        <v>80</v>
      </c>
      <c r="C53" s="85" t="s">
        <v>81</v>
      </c>
      <c r="D53" s="85"/>
      <c r="F53" s="78">
        <v>3900</v>
      </c>
      <c r="G53" s="78">
        <v>0</v>
      </c>
      <c r="H53" s="78">
        <v>0</v>
      </c>
      <c r="I53" s="78">
        <v>0</v>
      </c>
      <c r="J53" s="78">
        <v>3900</v>
      </c>
      <c r="K53" s="78">
        <v>0</v>
      </c>
      <c r="L53" s="78">
        <v>0</v>
      </c>
      <c r="M53" s="78">
        <v>2900</v>
      </c>
      <c r="N53" s="78">
        <v>0</v>
      </c>
      <c r="O53" s="78">
        <v>4200</v>
      </c>
      <c r="P53" s="78">
        <v>0</v>
      </c>
      <c r="Q53" s="78">
        <v>5000</v>
      </c>
      <c r="S53" s="86">
        <f t="shared" si="5"/>
        <v>19900</v>
      </c>
      <c r="T53" s="86">
        <f t="shared" si="4"/>
        <v>1658</v>
      </c>
      <c r="U53" s="46"/>
      <c r="V53" s="69"/>
      <c r="W53" s="69"/>
    </row>
    <row r="54" spans="2:23" x14ac:dyDescent="0.35">
      <c r="B54" s="41" t="s">
        <v>80</v>
      </c>
      <c r="C54" s="85" t="s">
        <v>82</v>
      </c>
      <c r="D54" s="85"/>
      <c r="F54" s="78">
        <v>1430</v>
      </c>
      <c r="G54" s="78">
        <v>0</v>
      </c>
      <c r="H54" s="78">
        <v>0</v>
      </c>
      <c r="I54" s="78">
        <v>0</v>
      </c>
      <c r="J54" s="78">
        <v>1050</v>
      </c>
      <c r="K54" s="78">
        <v>0</v>
      </c>
      <c r="L54" s="78">
        <v>0</v>
      </c>
      <c r="M54" s="78">
        <v>980</v>
      </c>
      <c r="N54" s="78">
        <v>0</v>
      </c>
      <c r="O54" s="78">
        <v>2240</v>
      </c>
      <c r="P54" s="78">
        <v>2020</v>
      </c>
      <c r="Q54" s="78">
        <v>520</v>
      </c>
      <c r="S54" s="86">
        <f t="shared" si="5"/>
        <v>8240</v>
      </c>
      <c r="T54" s="86">
        <f t="shared" si="4"/>
        <v>687</v>
      </c>
      <c r="U54" s="46"/>
      <c r="V54" s="69"/>
      <c r="W54" s="69"/>
    </row>
    <row r="55" spans="2:23" x14ac:dyDescent="0.35">
      <c r="B55" s="41" t="s">
        <v>83</v>
      </c>
      <c r="C55" s="85" t="s">
        <v>84</v>
      </c>
      <c r="D55" s="85"/>
      <c r="F55" s="76">
        <v>38000</v>
      </c>
      <c r="G55" s="76">
        <v>0</v>
      </c>
      <c r="H55" s="76">
        <v>0</v>
      </c>
      <c r="I55" s="76">
        <v>37000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73000</v>
      </c>
      <c r="S55" s="86">
        <f t="shared" si="5"/>
        <v>148000</v>
      </c>
      <c r="T55" s="86">
        <f t="shared" si="4"/>
        <v>12333</v>
      </c>
      <c r="U55" s="46"/>
      <c r="V55" s="69"/>
      <c r="W55" s="69"/>
    </row>
    <row r="56" spans="2:23" x14ac:dyDescent="0.35">
      <c r="B56" s="41" t="s">
        <v>37</v>
      </c>
      <c r="C56" s="85" t="s">
        <v>85</v>
      </c>
      <c r="D56" s="85"/>
      <c r="F56" s="76">
        <v>2000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4500</v>
      </c>
      <c r="O56" s="76">
        <v>0</v>
      </c>
      <c r="P56" s="76">
        <v>0</v>
      </c>
      <c r="Q56" s="76">
        <v>1300</v>
      </c>
      <c r="S56" s="86">
        <f t="shared" si="5"/>
        <v>7800</v>
      </c>
      <c r="T56" s="86">
        <f t="shared" si="4"/>
        <v>650</v>
      </c>
      <c r="U56" s="46"/>
      <c r="V56" s="69"/>
      <c r="W56" s="69"/>
    </row>
    <row r="57" spans="2:23" x14ac:dyDescent="0.35">
      <c r="B57" s="41"/>
      <c r="C57" s="85"/>
      <c r="D57" s="85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S57" s="86" t="str">
        <f t="shared" si="5"/>
        <v/>
      </c>
      <c r="T57" s="86" t="str">
        <f t="shared" si="4"/>
        <v/>
      </c>
      <c r="U57" s="46"/>
      <c r="V57" s="69"/>
      <c r="W57" s="69"/>
    </row>
    <row r="58" spans="2:23" x14ac:dyDescent="0.35">
      <c r="B58" s="41"/>
      <c r="C58" s="85"/>
      <c r="D58" s="85"/>
      <c r="F58" s="76"/>
      <c r="G58" s="76"/>
      <c r="H58" s="76"/>
      <c r="I58" s="76"/>
      <c r="J58" s="78"/>
      <c r="K58" s="78"/>
      <c r="L58" s="78"/>
      <c r="M58" s="78"/>
      <c r="N58" s="78"/>
      <c r="O58" s="78"/>
      <c r="P58" s="78"/>
      <c r="Q58" s="78"/>
      <c r="S58" s="86" t="str">
        <f t="shared" si="5"/>
        <v/>
      </c>
      <c r="T58" s="86" t="str">
        <f t="shared" si="4"/>
        <v/>
      </c>
      <c r="U58" s="46"/>
      <c r="V58" s="69"/>
      <c r="W58" s="69"/>
    </row>
    <row r="59" spans="2:23" x14ac:dyDescent="0.35">
      <c r="B59" s="44"/>
      <c r="C59" s="85"/>
      <c r="D59" s="8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S59" s="86" t="str">
        <f t="shared" si="5"/>
        <v/>
      </c>
      <c r="T59" s="86" t="str">
        <f t="shared" si="4"/>
        <v/>
      </c>
      <c r="U59" s="46"/>
      <c r="V59" s="69"/>
      <c r="W59" s="69"/>
    </row>
    <row r="60" spans="2:23" x14ac:dyDescent="0.35">
      <c r="B60" s="41"/>
      <c r="C60" s="85"/>
      <c r="D60" s="85"/>
      <c r="F60" s="76"/>
      <c r="G60" s="76"/>
      <c r="H60" s="76"/>
      <c r="I60" s="76"/>
      <c r="J60" s="78"/>
      <c r="K60" s="76"/>
      <c r="L60" s="76"/>
      <c r="M60" s="76"/>
      <c r="N60" s="76"/>
      <c r="O60" s="76"/>
      <c r="P60" s="76"/>
      <c r="Q60" s="76"/>
      <c r="S60" s="88" t="str">
        <f t="shared" si="5"/>
        <v/>
      </c>
      <c r="T60" s="88" t="str">
        <f t="shared" si="4"/>
        <v/>
      </c>
      <c r="U60" s="89"/>
      <c r="V60" s="69"/>
      <c r="W60" s="69"/>
    </row>
    <row r="61" spans="2:23" x14ac:dyDescent="0.35">
      <c r="B61" s="41"/>
      <c r="C61" s="85"/>
      <c r="D61" s="8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S61" s="88" t="str">
        <f t="shared" si="5"/>
        <v/>
      </c>
      <c r="T61" s="88" t="str">
        <f t="shared" si="4"/>
        <v/>
      </c>
      <c r="U61" s="89"/>
      <c r="V61" s="69"/>
      <c r="W61" s="69"/>
    </row>
    <row r="62" spans="2:23" x14ac:dyDescent="0.35">
      <c r="B62" s="41"/>
      <c r="C62" s="85"/>
      <c r="D62" s="8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S62" s="88" t="str">
        <f t="shared" si="5"/>
        <v/>
      </c>
      <c r="T62" s="88" t="str">
        <f t="shared" si="4"/>
        <v/>
      </c>
      <c r="U62" s="89"/>
      <c r="V62" s="69"/>
      <c r="W62" s="69"/>
    </row>
    <row r="63" spans="2:23" x14ac:dyDescent="0.35">
      <c r="B63" s="41"/>
      <c r="C63" s="85"/>
      <c r="D63" s="85"/>
      <c r="F63" s="76"/>
      <c r="G63" s="76"/>
      <c r="H63" s="76"/>
      <c r="I63" s="76"/>
      <c r="J63" s="76"/>
      <c r="K63" s="78"/>
      <c r="L63" s="78"/>
      <c r="M63" s="78"/>
      <c r="N63" s="78"/>
      <c r="O63" s="78"/>
      <c r="P63" s="78"/>
      <c r="Q63" s="78"/>
      <c r="S63" s="88" t="str">
        <f t="shared" si="5"/>
        <v/>
      </c>
      <c r="T63" s="88" t="str">
        <f t="shared" si="4"/>
        <v/>
      </c>
      <c r="U63" s="89"/>
      <c r="V63" s="69"/>
      <c r="W63" s="69"/>
    </row>
    <row r="64" spans="2:23" x14ac:dyDescent="0.35">
      <c r="B64" s="41"/>
      <c r="C64" s="85"/>
      <c r="D64" s="85"/>
      <c r="F64" s="76"/>
      <c r="G64" s="76"/>
      <c r="H64" s="76"/>
      <c r="I64" s="76"/>
      <c r="J64" s="76"/>
      <c r="K64" s="78"/>
      <c r="L64" s="78"/>
      <c r="M64" s="78"/>
      <c r="N64" s="78"/>
      <c r="O64" s="78"/>
      <c r="P64" s="78"/>
      <c r="Q64" s="78"/>
      <c r="S64" s="88" t="str">
        <f t="shared" si="5"/>
        <v/>
      </c>
      <c r="T64" s="88" t="str">
        <f t="shared" si="4"/>
        <v/>
      </c>
      <c r="U64" s="89"/>
      <c r="V64" s="69"/>
      <c r="W64" s="69"/>
    </row>
    <row r="65" spans="2:23" x14ac:dyDescent="0.35">
      <c r="B65" s="41"/>
      <c r="C65" s="85"/>
      <c r="D65" s="85"/>
      <c r="F65" s="76"/>
      <c r="G65" s="76"/>
      <c r="H65" s="76"/>
      <c r="I65" s="76"/>
      <c r="J65" s="76"/>
      <c r="K65" s="78"/>
      <c r="L65" s="78"/>
      <c r="M65" s="78"/>
      <c r="N65" s="78"/>
      <c r="O65" s="78"/>
      <c r="P65" s="78"/>
      <c r="Q65" s="78"/>
      <c r="S65" s="88" t="str">
        <f t="shared" si="5"/>
        <v/>
      </c>
      <c r="T65" s="88" t="str">
        <f t="shared" si="4"/>
        <v/>
      </c>
      <c r="U65" s="89"/>
      <c r="V65" s="69"/>
      <c r="W65" s="69"/>
    </row>
    <row r="66" spans="2:23" x14ac:dyDescent="0.35">
      <c r="B66" s="41"/>
      <c r="C66" s="85"/>
      <c r="D66" s="85"/>
      <c r="F66" s="76"/>
      <c r="G66" s="76"/>
      <c r="H66" s="76"/>
      <c r="I66" s="76"/>
      <c r="J66" s="76"/>
      <c r="K66" s="78"/>
      <c r="L66" s="78"/>
      <c r="M66" s="78"/>
      <c r="N66" s="78"/>
      <c r="O66" s="78"/>
      <c r="P66" s="78"/>
      <c r="Q66" s="78"/>
      <c r="S66" s="88" t="str">
        <f t="shared" si="5"/>
        <v/>
      </c>
      <c r="T66" s="88" t="str">
        <f t="shared" si="4"/>
        <v/>
      </c>
      <c r="U66" s="89"/>
      <c r="V66" s="69"/>
      <c r="W66" s="69"/>
    </row>
    <row r="67" spans="2:23" x14ac:dyDescent="0.35">
      <c r="B67" s="41"/>
      <c r="C67" s="85"/>
      <c r="D67" s="85"/>
      <c r="F67" s="76"/>
      <c r="G67" s="76"/>
      <c r="H67" s="76"/>
      <c r="I67" s="76"/>
      <c r="J67" s="76"/>
      <c r="K67" s="78"/>
      <c r="L67" s="78"/>
      <c r="M67" s="78"/>
      <c r="N67" s="78"/>
      <c r="O67" s="78"/>
      <c r="P67" s="78"/>
      <c r="Q67" s="78"/>
      <c r="S67" s="88" t="str">
        <f t="shared" si="5"/>
        <v/>
      </c>
      <c r="T67" s="88" t="str">
        <f t="shared" si="4"/>
        <v/>
      </c>
      <c r="U67" s="89"/>
      <c r="V67" s="69"/>
      <c r="W67" s="69"/>
    </row>
    <row r="68" spans="2:23" x14ac:dyDescent="0.35">
      <c r="B68" s="41"/>
      <c r="C68" s="85"/>
      <c r="D68" s="8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S68" s="88" t="str">
        <f t="shared" si="5"/>
        <v/>
      </c>
      <c r="T68" s="88" t="str">
        <f t="shared" si="4"/>
        <v/>
      </c>
      <c r="U68" s="89"/>
      <c r="V68" s="69"/>
      <c r="W68" s="69"/>
    </row>
    <row r="69" spans="2:23" x14ac:dyDescent="0.35">
      <c r="B69" s="100"/>
      <c r="C69" s="85"/>
      <c r="D69" s="85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S69" s="88" t="str">
        <f t="shared" si="5"/>
        <v/>
      </c>
      <c r="T69" s="88" t="str">
        <f t="shared" si="4"/>
        <v/>
      </c>
      <c r="U69" s="89"/>
      <c r="V69" s="69"/>
      <c r="W69" s="69"/>
    </row>
    <row r="70" spans="2:23" x14ac:dyDescent="0.35">
      <c r="B70" s="104"/>
      <c r="C70" s="91"/>
      <c r="D70" s="91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S70" s="88" t="str">
        <f t="shared" si="5"/>
        <v/>
      </c>
      <c r="T70" s="88" t="str">
        <f t="shared" si="4"/>
        <v/>
      </c>
      <c r="U70" s="89"/>
      <c r="V70" s="69"/>
      <c r="W70" s="69"/>
    </row>
    <row r="71" spans="2:23" x14ac:dyDescent="0.35">
      <c r="B71" s="44"/>
      <c r="C71" s="91"/>
      <c r="D71" s="91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S71" s="88" t="str">
        <f t="shared" si="5"/>
        <v/>
      </c>
      <c r="T71" s="88" t="str">
        <f t="shared" si="4"/>
        <v/>
      </c>
      <c r="U71" s="89"/>
      <c r="V71" s="69"/>
      <c r="W71" s="69"/>
    </row>
    <row r="72" spans="2:23" x14ac:dyDescent="0.35">
      <c r="B72" s="44"/>
      <c r="C72" s="91"/>
      <c r="D72" s="91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S72" s="88" t="str">
        <f t="shared" si="5"/>
        <v/>
      </c>
      <c r="T72" s="88" t="str">
        <f t="shared" si="4"/>
        <v/>
      </c>
      <c r="U72" s="89"/>
      <c r="V72" s="69"/>
      <c r="W72" s="69"/>
    </row>
    <row r="73" spans="2:23" x14ac:dyDescent="0.35">
      <c r="B73" s="44"/>
      <c r="C73" s="91"/>
      <c r="D73" s="91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S73" s="88" t="str">
        <f t="shared" si="5"/>
        <v/>
      </c>
      <c r="T73" s="88" t="str">
        <f t="shared" si="4"/>
        <v/>
      </c>
      <c r="U73" s="89"/>
      <c r="V73" s="69"/>
      <c r="W73" s="69"/>
    </row>
    <row r="74" spans="2:23" x14ac:dyDescent="0.35">
      <c r="B74" s="44"/>
      <c r="C74" s="91"/>
      <c r="D74" s="91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S74" s="88" t="str">
        <f t="shared" si="5"/>
        <v/>
      </c>
      <c r="T74" s="88" t="str">
        <f t="shared" si="4"/>
        <v/>
      </c>
      <c r="U74" s="89"/>
      <c r="V74" s="69"/>
      <c r="W74" s="69"/>
    </row>
    <row r="75" spans="2:23" x14ac:dyDescent="0.35">
      <c r="B75" s="44"/>
      <c r="C75" s="91"/>
      <c r="D75" s="91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S75" s="88" t="str">
        <f t="shared" si="5"/>
        <v/>
      </c>
      <c r="T75" s="88" t="str">
        <f t="shared" si="4"/>
        <v/>
      </c>
      <c r="U75" s="89"/>
      <c r="V75" s="69"/>
      <c r="W75" s="69"/>
    </row>
    <row r="76" spans="2:23" x14ac:dyDescent="0.35">
      <c r="B76" s="44"/>
      <c r="C76" s="91"/>
      <c r="D76" s="91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S76" s="88" t="str">
        <f t="shared" si="5"/>
        <v/>
      </c>
      <c r="T76" s="88" t="str">
        <f t="shared" si="4"/>
        <v/>
      </c>
      <c r="U76" s="89"/>
      <c r="V76" s="69"/>
      <c r="W76" s="69"/>
    </row>
    <row r="77" spans="2:23" x14ac:dyDescent="0.35">
      <c r="B77" s="44"/>
      <c r="C77" s="91"/>
      <c r="D77" s="91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S77" s="88" t="str">
        <f t="shared" si="5"/>
        <v/>
      </c>
      <c r="T77" s="88" t="str">
        <f t="shared" si="4"/>
        <v/>
      </c>
      <c r="U77" s="89"/>
      <c r="V77" s="69"/>
      <c r="W77" s="69"/>
    </row>
    <row r="78" spans="2:23" x14ac:dyDescent="0.35">
      <c r="B78" s="44"/>
      <c r="C78" s="91"/>
      <c r="D78" s="91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S78" s="88" t="str">
        <f t="shared" si="5"/>
        <v/>
      </c>
      <c r="T78" s="88" t="str">
        <f t="shared" si="4"/>
        <v/>
      </c>
      <c r="U78" s="89"/>
      <c r="V78" s="69"/>
      <c r="W78" s="69"/>
    </row>
    <row r="79" spans="2:23" x14ac:dyDescent="0.35">
      <c r="B79" s="44"/>
      <c r="C79" s="91"/>
      <c r="D79" s="91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S79" s="88" t="str">
        <f t="shared" si="5"/>
        <v/>
      </c>
      <c r="T79" s="88" t="str">
        <f t="shared" si="4"/>
        <v/>
      </c>
      <c r="U79" s="89"/>
      <c r="V79" s="69"/>
      <c r="W79" s="69"/>
    </row>
    <row r="80" spans="2:23" x14ac:dyDescent="0.35">
      <c r="B80" s="80"/>
      <c r="C80" s="92"/>
      <c r="D80" s="9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S80" s="93" t="str">
        <f t="shared" si="5"/>
        <v/>
      </c>
      <c r="T80" s="93" t="str">
        <f t="shared" si="4"/>
        <v/>
      </c>
      <c r="U80" s="94"/>
    </row>
  </sheetData>
  <sheetProtection formatCells="0" formatColumns="0" formatRows="0"/>
  <phoneticPr fontId="10"/>
  <conditionalFormatting sqref="B31">
    <cfRule type="expression" dxfId="5" priority="63">
      <formula>B31=C30</formula>
    </cfRule>
  </conditionalFormatting>
  <conditionalFormatting sqref="B32:B80">
    <cfRule type="expression" dxfId="4" priority="1">
      <formula>B32=B31</formula>
    </cfRule>
  </conditionalFormatting>
  <conditionalFormatting sqref="B80">
    <cfRule type="expression" dxfId="3" priority="65">
      <formula>B80=B69</formula>
    </cfRule>
  </conditionalFormatting>
  <dataValidations count="1">
    <dataValidation type="custom" allowBlank="1" showInputMessage="1" showErrorMessage="1" error="「その他 」以外の名称を使用してください。" sqref="B31:B80" xr:uid="{DE1D88C1-DD68-402B-8A70-D521EDE544A9}">
      <formula1>B31&lt;&gt;"その他 "</formula1>
    </dataValidation>
  </dataValidations>
  <pageMargins left="0.23622047244094499" right="0.23622047244094499" top="0.55118110236220497" bottom="0.55118110236220497" header="0.31496062992126" footer="0.31496062992126"/>
  <pageSetup paperSize="9" scale="56" orientation="landscape"/>
  <ignoredErrors>
    <ignoredError sqref="D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80"/>
  <sheetViews>
    <sheetView showGridLines="0" zoomScaleSheetLayoutView="70" workbookViewId="0">
      <pane xSplit="5" topLeftCell="F1" activePane="topRight" state="frozen"/>
      <selection pane="topRight" activeCell="F1" sqref="F1"/>
    </sheetView>
  </sheetViews>
  <sheetFormatPr defaultColWidth="9.28515625" defaultRowHeight="16.5" x14ac:dyDescent="0.35"/>
  <cols>
    <col min="1" max="1" width="3.7109375" style="14" customWidth="1"/>
    <col min="2" max="2" width="15.7109375" style="14" customWidth="1"/>
    <col min="3" max="3" width="12.7109375" style="14" customWidth="1"/>
    <col min="4" max="4" width="15.7109375" style="14" customWidth="1"/>
    <col min="5" max="5" width="0.85546875" style="15" customWidth="1"/>
    <col min="6" max="17" width="14.28515625" style="14" customWidth="1"/>
    <col min="18" max="18" width="0.85546875" style="15" customWidth="1"/>
    <col min="19" max="21" width="15.7109375" style="14" customWidth="1"/>
    <col min="22" max="23" width="12.7109375" style="14" customWidth="1"/>
    <col min="24" max="16384" width="9.28515625" style="14"/>
  </cols>
  <sheetData>
    <row r="1" spans="1:21" s="13" customFormat="1" x14ac:dyDescent="0.4">
      <c r="A1" s="16"/>
      <c r="B1" s="17" t="s">
        <v>112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13" customFormat="1" x14ac:dyDescent="0.35">
      <c r="E2"/>
      <c r="R2"/>
    </row>
    <row r="3" spans="1:21" x14ac:dyDescent="0.35">
      <c r="B3" s="19" t="s">
        <v>5</v>
      </c>
      <c r="H3" s="20"/>
      <c r="I3" s="20"/>
    </row>
    <row r="4" spans="1:21" x14ac:dyDescent="0.35">
      <c r="B4" s="21" t="s">
        <v>6</v>
      </c>
      <c r="C4" s="21" t="s">
        <v>0</v>
      </c>
      <c r="D4" s="21" t="s">
        <v>113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S4" s="28" t="s">
        <v>19</v>
      </c>
      <c r="T4" s="28"/>
      <c r="U4" s="28"/>
    </row>
    <row r="5" spans="1:21" x14ac:dyDescent="0.35">
      <c r="B5" s="22" t="s">
        <v>20</v>
      </c>
      <c r="C5" s="22" t="s">
        <v>21</v>
      </c>
      <c r="D5" s="23">
        <f>SUM(D6:D15)</f>
        <v>3175792</v>
      </c>
      <c r="F5" s="23">
        <f t="shared" ref="F5:Q5" si="0">SUM(F6:F15)</f>
        <v>3727724</v>
      </c>
      <c r="G5" s="23">
        <f t="shared" si="0"/>
        <v>4059485</v>
      </c>
      <c r="H5" s="23">
        <f t="shared" si="0"/>
        <v>4399006</v>
      </c>
      <c r="I5" s="23">
        <f t="shared" si="0"/>
        <v>4562239</v>
      </c>
      <c r="J5" s="23">
        <f t="shared" si="0"/>
        <v>4822657</v>
      </c>
      <c r="K5" s="23">
        <f t="shared" si="0"/>
        <v>4882055</v>
      </c>
      <c r="L5" s="23">
        <f t="shared" si="0"/>
        <v>5479410</v>
      </c>
      <c r="M5" s="23">
        <f t="shared" si="0"/>
        <v>5622976</v>
      </c>
      <c r="N5" s="23">
        <f t="shared" si="0"/>
        <v>5868940</v>
      </c>
      <c r="O5" s="23">
        <f t="shared" si="0"/>
        <v>6212026</v>
      </c>
      <c r="P5" s="23">
        <f t="shared" si="0"/>
        <v>6408590</v>
      </c>
      <c r="Q5" s="23">
        <f t="shared" si="0"/>
        <v>6400551</v>
      </c>
      <c r="S5" s="35"/>
      <c r="T5" s="35"/>
      <c r="U5" s="35"/>
    </row>
    <row r="6" spans="1:21" x14ac:dyDescent="0.35">
      <c r="B6" s="24" t="s">
        <v>22</v>
      </c>
      <c r="C6" s="24" t="s">
        <v>38</v>
      </c>
      <c r="D6" s="25">
        <v>1699077</v>
      </c>
      <c r="F6" s="25">
        <v>2066477</v>
      </c>
      <c r="G6" s="25">
        <v>2039825</v>
      </c>
      <c r="H6" s="25">
        <v>1963521</v>
      </c>
      <c r="I6" s="25">
        <v>1883939</v>
      </c>
      <c r="J6" s="25">
        <v>1763557</v>
      </c>
      <c r="K6" s="25">
        <v>1558830</v>
      </c>
      <c r="L6" s="25">
        <v>1861248</v>
      </c>
      <c r="M6" s="25">
        <v>1766250</v>
      </c>
      <c r="N6" s="25">
        <v>1662341</v>
      </c>
      <c r="O6" s="25">
        <v>1542123</v>
      </c>
      <c r="P6" s="25">
        <v>1458212</v>
      </c>
      <c r="Q6" s="25">
        <v>1285497</v>
      </c>
      <c r="S6" s="106"/>
      <c r="T6" s="36"/>
      <c r="U6" s="36"/>
    </row>
    <row r="7" spans="1:21" x14ac:dyDescent="0.35">
      <c r="B7" s="24" t="s">
        <v>39</v>
      </c>
      <c r="C7" s="24" t="s">
        <v>40</v>
      </c>
      <c r="D7" s="25">
        <v>1992943</v>
      </c>
      <c r="F7" s="25">
        <v>2057867</v>
      </c>
      <c r="G7" s="25">
        <v>2217754</v>
      </c>
      <c r="H7" s="25">
        <v>2325475</v>
      </c>
      <c r="I7" s="25">
        <v>2422947</v>
      </c>
      <c r="J7" s="25">
        <v>2563960</v>
      </c>
      <c r="K7" s="25">
        <v>2597459</v>
      </c>
      <c r="L7" s="25">
        <v>2610334</v>
      </c>
      <c r="M7" s="25">
        <v>2682775</v>
      </c>
      <c r="N7" s="25">
        <v>2812885</v>
      </c>
      <c r="O7" s="25">
        <v>2936978</v>
      </c>
      <c r="P7" s="25">
        <v>2958727</v>
      </c>
      <c r="Q7" s="25">
        <v>2976870</v>
      </c>
      <c r="S7" s="107"/>
      <c r="T7" s="36"/>
      <c r="U7" s="36"/>
    </row>
    <row r="8" spans="1:21" x14ac:dyDescent="0.35">
      <c r="B8" s="24" t="s">
        <v>41</v>
      </c>
      <c r="C8" s="24" t="s">
        <v>33</v>
      </c>
      <c r="D8" s="25">
        <v>807584</v>
      </c>
      <c r="F8" s="25">
        <v>876638</v>
      </c>
      <c r="G8" s="25">
        <v>912626</v>
      </c>
      <c r="H8" s="25">
        <v>1052518</v>
      </c>
      <c r="I8" s="25">
        <v>1075811</v>
      </c>
      <c r="J8" s="25">
        <v>1113144</v>
      </c>
      <c r="K8" s="25">
        <v>1135758</v>
      </c>
      <c r="L8" s="25">
        <v>1274839</v>
      </c>
      <c r="M8" s="25">
        <v>1227199</v>
      </c>
      <c r="N8" s="25">
        <v>1269299</v>
      </c>
      <c r="O8" s="25">
        <v>1408086</v>
      </c>
      <c r="P8" s="25">
        <v>1501076</v>
      </c>
      <c r="Q8" s="25">
        <v>1522242</v>
      </c>
      <c r="S8" s="107"/>
      <c r="T8" s="36"/>
      <c r="U8" s="36"/>
    </row>
    <row r="9" spans="1:21" x14ac:dyDescent="0.35">
      <c r="B9" s="24" t="s">
        <v>42</v>
      </c>
      <c r="C9" s="24" t="s">
        <v>43</v>
      </c>
      <c r="D9" s="25">
        <v>0</v>
      </c>
      <c r="F9" s="25">
        <v>107465</v>
      </c>
      <c r="G9" s="25">
        <v>251012</v>
      </c>
      <c r="H9" s="25">
        <v>406329</v>
      </c>
      <c r="I9" s="25">
        <v>514589</v>
      </c>
      <c r="J9" s="25">
        <v>699574</v>
      </c>
      <c r="K9" s="25">
        <v>889785</v>
      </c>
      <c r="L9" s="25">
        <v>1017933</v>
      </c>
      <c r="M9" s="25">
        <v>1220299</v>
      </c>
      <c r="N9" s="25">
        <v>1385771</v>
      </c>
      <c r="O9" s="25">
        <v>1573238</v>
      </c>
      <c r="P9" s="25">
        <v>1719162</v>
      </c>
      <c r="Q9" s="25">
        <v>1825714</v>
      </c>
      <c r="S9" s="107" t="s">
        <v>44</v>
      </c>
      <c r="T9" s="36"/>
      <c r="U9" s="36"/>
    </row>
    <row r="10" spans="1:21" x14ac:dyDescent="0.35">
      <c r="B10" s="24" t="s">
        <v>45</v>
      </c>
      <c r="C10" s="24" t="s">
        <v>46</v>
      </c>
      <c r="D10" s="25">
        <v>-1178178</v>
      </c>
      <c r="F10" s="25">
        <v>-1167267</v>
      </c>
      <c r="G10" s="25">
        <v>-1156356</v>
      </c>
      <c r="H10" s="25">
        <v>-1145445</v>
      </c>
      <c r="I10" s="25">
        <v>-1134534</v>
      </c>
      <c r="J10" s="25">
        <v>-1123623</v>
      </c>
      <c r="K10" s="25">
        <v>-1112712</v>
      </c>
      <c r="L10" s="25">
        <v>-1101801</v>
      </c>
      <c r="M10" s="25">
        <v>-1090890</v>
      </c>
      <c r="N10" s="25">
        <v>-1079979</v>
      </c>
      <c r="O10" s="25">
        <v>-1069068</v>
      </c>
      <c r="P10" s="25">
        <v>-1058157</v>
      </c>
      <c r="Q10" s="25">
        <v>-1047246</v>
      </c>
      <c r="S10" s="107"/>
      <c r="T10" s="36"/>
      <c r="U10" s="36"/>
    </row>
    <row r="11" spans="1:21" x14ac:dyDescent="0.35">
      <c r="B11" s="24" t="s">
        <v>45</v>
      </c>
      <c r="C11" s="24" t="s">
        <v>47</v>
      </c>
      <c r="D11" s="25">
        <v>-145634</v>
      </c>
      <c r="F11" s="25">
        <v>-213456</v>
      </c>
      <c r="G11" s="25">
        <v>-205376</v>
      </c>
      <c r="H11" s="25">
        <v>-203392</v>
      </c>
      <c r="I11" s="25">
        <v>-200513</v>
      </c>
      <c r="J11" s="25">
        <v>-193955</v>
      </c>
      <c r="K11" s="25">
        <v>-187065</v>
      </c>
      <c r="L11" s="25">
        <v>-183143</v>
      </c>
      <c r="M11" s="25">
        <v>-182657</v>
      </c>
      <c r="N11" s="25">
        <v>-181377</v>
      </c>
      <c r="O11" s="25">
        <v>-179331</v>
      </c>
      <c r="P11" s="25">
        <v>-170430</v>
      </c>
      <c r="Q11" s="25">
        <v>-162526</v>
      </c>
      <c r="S11" s="107" t="s">
        <v>48</v>
      </c>
      <c r="T11" s="36"/>
      <c r="U11" s="36"/>
    </row>
    <row r="12" spans="1:21" x14ac:dyDescent="0.35">
      <c r="B12" s="24"/>
      <c r="C12" s="24"/>
      <c r="D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S12" s="107"/>
      <c r="T12" s="36"/>
      <c r="U12" s="36"/>
    </row>
    <row r="13" spans="1:21" x14ac:dyDescent="0.35">
      <c r="B13" s="24"/>
      <c r="C13" s="24"/>
      <c r="D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S13" s="108"/>
      <c r="T13" s="36"/>
      <c r="U13" s="36"/>
    </row>
    <row r="14" spans="1:21" x14ac:dyDescent="0.35">
      <c r="B14" s="24"/>
      <c r="C14" s="24"/>
      <c r="D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S14" s="108"/>
      <c r="T14" s="36"/>
      <c r="U14" s="36"/>
    </row>
    <row r="15" spans="1:21" x14ac:dyDescent="0.35">
      <c r="B15" s="26"/>
      <c r="C15" s="26"/>
      <c r="D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S15" s="109"/>
      <c r="T15" s="34"/>
      <c r="U15" s="34"/>
    </row>
    <row r="17" spans="2:23" x14ac:dyDescent="0.35">
      <c r="B17" s="19" t="s">
        <v>23</v>
      </c>
    </row>
    <row r="18" spans="2:23" x14ac:dyDescent="0.35">
      <c r="B18" s="21" t="s">
        <v>6</v>
      </c>
      <c r="C18" s="28" t="s">
        <v>0</v>
      </c>
      <c r="D18" s="28"/>
      <c r="F18" s="21" t="str">
        <f t="shared" ref="F18:Q18" si="1">F4</f>
        <v>1月</v>
      </c>
      <c r="G18" s="21" t="str">
        <f t="shared" si="1"/>
        <v>2月</v>
      </c>
      <c r="H18" s="21" t="str">
        <f t="shared" si="1"/>
        <v>3月</v>
      </c>
      <c r="I18" s="21" t="str">
        <f t="shared" si="1"/>
        <v>4月</v>
      </c>
      <c r="J18" s="21" t="str">
        <f t="shared" si="1"/>
        <v>5月</v>
      </c>
      <c r="K18" s="21" t="str">
        <f t="shared" si="1"/>
        <v>6月</v>
      </c>
      <c r="L18" s="21" t="str">
        <f t="shared" si="1"/>
        <v>7月</v>
      </c>
      <c r="M18" s="21" t="str">
        <f t="shared" si="1"/>
        <v>8月</v>
      </c>
      <c r="N18" s="21" t="str">
        <f t="shared" si="1"/>
        <v>9月</v>
      </c>
      <c r="O18" s="21" t="str">
        <f t="shared" si="1"/>
        <v>10月</v>
      </c>
      <c r="P18" s="21" t="str">
        <f t="shared" si="1"/>
        <v>11月</v>
      </c>
      <c r="Q18" s="21" t="str">
        <f t="shared" si="1"/>
        <v>12月</v>
      </c>
      <c r="S18" s="21" t="s">
        <v>24</v>
      </c>
      <c r="T18" s="7" t="s">
        <v>111</v>
      </c>
      <c r="U18" s="21" t="s">
        <v>19</v>
      </c>
      <c r="V18" s="15"/>
      <c r="W18" s="15"/>
    </row>
    <row r="19" spans="2:23" x14ac:dyDescent="0.35">
      <c r="B19" s="22" t="s">
        <v>20</v>
      </c>
      <c r="C19" s="29" t="s">
        <v>25</v>
      </c>
      <c r="D19" s="29"/>
      <c r="F19" s="23">
        <f t="shared" ref="F19:Q19" si="2">SUM(F20:F29)</f>
        <v>601110</v>
      </c>
      <c r="G19" s="23">
        <f t="shared" si="2"/>
        <v>451100</v>
      </c>
      <c r="H19" s="23">
        <f t="shared" si="2"/>
        <v>451130</v>
      </c>
      <c r="I19" s="23">
        <f t="shared" si="2"/>
        <v>451552</v>
      </c>
      <c r="J19" s="23">
        <f t="shared" si="2"/>
        <v>451073</v>
      </c>
      <c r="K19" s="23">
        <f t="shared" si="2"/>
        <v>833271</v>
      </c>
      <c r="L19" s="23">
        <f t="shared" si="2"/>
        <v>451364</v>
      </c>
      <c r="M19" s="23">
        <f t="shared" si="2"/>
        <v>471044</v>
      </c>
      <c r="N19" s="23">
        <f t="shared" si="2"/>
        <v>451189</v>
      </c>
      <c r="O19" s="23">
        <f t="shared" si="2"/>
        <v>451116</v>
      </c>
      <c r="P19" s="23">
        <f t="shared" si="2"/>
        <v>451516</v>
      </c>
      <c r="Q19" s="23">
        <f t="shared" si="2"/>
        <v>901647</v>
      </c>
      <c r="S19" s="23">
        <f t="shared" ref="S19:S20" si="3">IF(SUM(F19:R19)=0,"",SUM(F19:R19))</f>
        <v>6417112</v>
      </c>
      <c r="T19" s="74">
        <f>IFERROR(ROUND(AVERAGE(F19:Q19),0),"")</f>
        <v>534759</v>
      </c>
      <c r="U19" s="37"/>
      <c r="V19" s="15"/>
      <c r="W19" s="15"/>
    </row>
    <row r="20" spans="2:23" x14ac:dyDescent="0.35">
      <c r="B20" s="24" t="s">
        <v>27</v>
      </c>
      <c r="C20" s="30" t="s">
        <v>49</v>
      </c>
      <c r="D20" s="30"/>
      <c r="F20" s="25">
        <v>232706</v>
      </c>
      <c r="G20" s="25">
        <v>233050</v>
      </c>
      <c r="H20" s="25">
        <v>232639</v>
      </c>
      <c r="I20" s="25">
        <v>233476</v>
      </c>
      <c r="J20" s="25">
        <v>233080</v>
      </c>
      <c r="K20" s="25">
        <v>233091</v>
      </c>
      <c r="L20" s="25">
        <v>233292</v>
      </c>
      <c r="M20" s="25">
        <v>233140</v>
      </c>
      <c r="N20" s="25">
        <v>233071</v>
      </c>
      <c r="O20" s="25">
        <v>232787</v>
      </c>
      <c r="P20" s="25">
        <v>233492</v>
      </c>
      <c r="Q20" s="25">
        <v>233436</v>
      </c>
      <c r="S20" s="25">
        <f t="shared" si="3"/>
        <v>2797260</v>
      </c>
      <c r="T20" s="86">
        <f t="shared" ref="T20:T80" si="4">IFERROR(ROUND(AVERAGE(F20:Q20),0),"")</f>
        <v>233105</v>
      </c>
      <c r="U20" s="38"/>
      <c r="V20" s="15"/>
      <c r="W20" s="15"/>
    </row>
    <row r="21" spans="2:23" x14ac:dyDescent="0.35">
      <c r="B21" s="24" t="s">
        <v>26</v>
      </c>
      <c r="C21" s="30" t="s">
        <v>50</v>
      </c>
      <c r="D21" s="30"/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382327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410154</v>
      </c>
      <c r="S21" s="25">
        <f t="shared" ref="S21:S80" si="5">IF(SUM(F21:R21)=0,"",SUM(F21:R21))</f>
        <v>792481</v>
      </c>
      <c r="T21" s="86">
        <f t="shared" si="4"/>
        <v>66040</v>
      </c>
      <c r="U21" s="38"/>
      <c r="V21" s="15"/>
      <c r="W21" s="15"/>
    </row>
    <row r="22" spans="2:23" x14ac:dyDescent="0.35">
      <c r="B22" s="24" t="s">
        <v>27</v>
      </c>
      <c r="C22" s="30" t="s">
        <v>51</v>
      </c>
      <c r="D22" s="30"/>
      <c r="F22" s="25">
        <v>218404</v>
      </c>
      <c r="G22" s="25">
        <v>218050</v>
      </c>
      <c r="H22" s="25">
        <v>218491</v>
      </c>
      <c r="I22" s="25">
        <v>218076</v>
      </c>
      <c r="J22" s="25">
        <v>217993</v>
      </c>
      <c r="K22" s="25">
        <v>217853</v>
      </c>
      <c r="L22" s="25">
        <v>218072</v>
      </c>
      <c r="M22" s="25">
        <v>217904</v>
      </c>
      <c r="N22" s="25">
        <v>218118</v>
      </c>
      <c r="O22" s="25">
        <v>218329</v>
      </c>
      <c r="P22" s="25">
        <v>218024</v>
      </c>
      <c r="Q22" s="25">
        <v>218057</v>
      </c>
      <c r="S22" s="25">
        <f t="shared" si="5"/>
        <v>2617371</v>
      </c>
      <c r="T22" s="86">
        <f t="shared" si="4"/>
        <v>218114</v>
      </c>
      <c r="U22" s="38"/>
      <c r="V22" s="15"/>
      <c r="W22" s="15"/>
    </row>
    <row r="23" spans="2:23" x14ac:dyDescent="0.35">
      <c r="B23" s="24" t="s">
        <v>37</v>
      </c>
      <c r="C23" s="30" t="s">
        <v>37</v>
      </c>
      <c r="D23" s="30"/>
      <c r="F23" s="25">
        <v>150000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20000</v>
      </c>
      <c r="N23" s="25">
        <v>0</v>
      </c>
      <c r="O23" s="25">
        <v>0</v>
      </c>
      <c r="P23" s="25">
        <v>0</v>
      </c>
      <c r="Q23" s="25">
        <v>40000</v>
      </c>
      <c r="S23" s="25">
        <f t="shared" si="5"/>
        <v>210000</v>
      </c>
      <c r="T23" s="86">
        <f t="shared" si="4"/>
        <v>17500</v>
      </c>
      <c r="U23" s="38"/>
      <c r="V23" s="15"/>
      <c r="W23" s="15"/>
    </row>
    <row r="24" spans="2:23" x14ac:dyDescent="0.35">
      <c r="B24" s="24"/>
      <c r="C24" s="30"/>
      <c r="D24" s="30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S24" s="25"/>
      <c r="T24" s="86" t="str">
        <f t="shared" si="4"/>
        <v/>
      </c>
      <c r="U24" s="38"/>
      <c r="V24" s="15"/>
      <c r="W24" s="15"/>
    </row>
    <row r="25" spans="2:23" x14ac:dyDescent="0.35">
      <c r="B25" s="24"/>
      <c r="C25" s="30"/>
      <c r="D25" s="30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S25" s="25"/>
      <c r="T25" s="86" t="str">
        <f t="shared" si="4"/>
        <v/>
      </c>
      <c r="U25" s="38"/>
      <c r="V25" s="15"/>
      <c r="W25" s="15"/>
    </row>
    <row r="26" spans="2:23" x14ac:dyDescent="0.35">
      <c r="B26" s="24"/>
      <c r="C26" s="30"/>
      <c r="D26" s="30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S26" s="25"/>
      <c r="T26" s="86" t="str">
        <f t="shared" si="4"/>
        <v/>
      </c>
      <c r="U26" s="38"/>
      <c r="V26" s="15"/>
      <c r="W26" s="15"/>
    </row>
    <row r="27" spans="2:23" x14ac:dyDescent="0.35">
      <c r="B27" s="24"/>
      <c r="C27" s="30"/>
      <c r="D27" s="30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S27" s="25"/>
      <c r="T27" s="86" t="str">
        <f t="shared" si="4"/>
        <v/>
      </c>
      <c r="U27" s="38"/>
      <c r="V27" s="15"/>
      <c r="W27" s="15"/>
    </row>
    <row r="28" spans="2:23" x14ac:dyDescent="0.35">
      <c r="B28" s="24"/>
      <c r="C28" s="30"/>
      <c r="D28" s="30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S28" s="25" t="str">
        <f t="shared" si="5"/>
        <v/>
      </c>
      <c r="T28" s="86" t="str">
        <f t="shared" si="4"/>
        <v/>
      </c>
      <c r="U28" s="38"/>
      <c r="V28" s="15"/>
      <c r="W28" s="15"/>
    </row>
    <row r="29" spans="2:23" x14ac:dyDescent="0.35">
      <c r="B29" s="24"/>
      <c r="C29" s="31"/>
      <c r="D29" s="3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S29" s="27" t="str">
        <f t="shared" si="5"/>
        <v/>
      </c>
      <c r="T29" s="86" t="str">
        <f t="shared" si="4"/>
        <v/>
      </c>
      <c r="U29" s="39"/>
      <c r="V29" s="15"/>
      <c r="W29" s="15"/>
    </row>
    <row r="30" spans="2:23" x14ac:dyDescent="0.35">
      <c r="B30" s="22" t="s">
        <v>20</v>
      </c>
      <c r="C30" s="29" t="s">
        <v>28</v>
      </c>
      <c r="D30" s="29"/>
      <c r="F30" s="23">
        <f t="shared" ref="F30:Q30" si="6">SUM(F31:F80)</f>
        <v>357855</v>
      </c>
      <c r="G30" s="23">
        <f t="shared" si="6"/>
        <v>257232</v>
      </c>
      <c r="H30" s="23">
        <f t="shared" si="6"/>
        <v>259873</v>
      </c>
      <c r="I30" s="23">
        <f t="shared" si="6"/>
        <v>300026</v>
      </c>
      <c r="J30" s="23">
        <f t="shared" si="6"/>
        <v>383623</v>
      </c>
      <c r="K30" s="23">
        <f t="shared" si="6"/>
        <v>258005</v>
      </c>
      <c r="L30" s="23">
        <f t="shared" si="6"/>
        <v>272841</v>
      </c>
      <c r="M30" s="23">
        <f t="shared" si="6"/>
        <v>300757</v>
      </c>
      <c r="N30" s="23">
        <f t="shared" si="6"/>
        <v>296535</v>
      </c>
      <c r="O30" s="23">
        <f t="shared" si="6"/>
        <v>259477</v>
      </c>
      <c r="P30" s="23">
        <f t="shared" si="6"/>
        <v>348000</v>
      </c>
      <c r="Q30" s="23">
        <f t="shared" si="6"/>
        <v>391477</v>
      </c>
      <c r="S30" s="23">
        <f t="shared" si="5"/>
        <v>3685701</v>
      </c>
      <c r="T30" s="74">
        <f t="shared" si="4"/>
        <v>307142</v>
      </c>
      <c r="U30" s="37"/>
      <c r="V30" s="15"/>
      <c r="W30" s="15"/>
    </row>
    <row r="31" spans="2:23" x14ac:dyDescent="0.35">
      <c r="B31" s="24" t="s">
        <v>31</v>
      </c>
      <c r="C31" s="30" t="s">
        <v>32</v>
      </c>
      <c r="D31" s="30"/>
      <c r="F31" s="25">
        <v>126000</v>
      </c>
      <c r="G31" s="25">
        <v>126000</v>
      </c>
      <c r="H31" s="25">
        <v>126000</v>
      </c>
      <c r="I31" s="25">
        <v>126000</v>
      </c>
      <c r="J31" s="25">
        <v>126000</v>
      </c>
      <c r="K31" s="25">
        <v>126000</v>
      </c>
      <c r="L31" s="25">
        <v>126000</v>
      </c>
      <c r="M31" s="25">
        <v>126000</v>
      </c>
      <c r="N31" s="25">
        <v>126000</v>
      </c>
      <c r="O31" s="25">
        <v>126000</v>
      </c>
      <c r="P31" s="25">
        <v>126000</v>
      </c>
      <c r="Q31" s="25">
        <v>126000</v>
      </c>
      <c r="S31" s="25">
        <f t="shared" si="5"/>
        <v>1512000</v>
      </c>
      <c r="T31" s="86">
        <f t="shared" si="4"/>
        <v>126000</v>
      </c>
      <c r="U31" s="38"/>
      <c r="V31" s="15"/>
      <c r="W31" s="15"/>
    </row>
    <row r="32" spans="2:23" x14ac:dyDescent="0.35">
      <c r="B32" s="24" t="str">
        <f>B31</f>
        <v>住宅</v>
      </c>
      <c r="C32" s="30" t="s">
        <v>52</v>
      </c>
      <c r="D32" s="30"/>
      <c r="F32" s="25">
        <v>1500</v>
      </c>
      <c r="G32" s="25">
        <v>1500</v>
      </c>
      <c r="H32" s="25">
        <v>1500</v>
      </c>
      <c r="I32" s="25">
        <v>1500</v>
      </c>
      <c r="J32" s="25">
        <v>1500</v>
      </c>
      <c r="K32" s="25">
        <v>1500</v>
      </c>
      <c r="L32" s="25">
        <v>1500</v>
      </c>
      <c r="M32" s="25">
        <v>1500</v>
      </c>
      <c r="N32" s="25">
        <v>1500</v>
      </c>
      <c r="O32" s="25">
        <v>1500</v>
      </c>
      <c r="P32" s="25">
        <v>1500</v>
      </c>
      <c r="Q32" s="25">
        <v>1500</v>
      </c>
      <c r="S32" s="25">
        <f t="shared" si="5"/>
        <v>18000</v>
      </c>
      <c r="T32" s="86">
        <f t="shared" si="4"/>
        <v>1500</v>
      </c>
      <c r="U32" s="38"/>
      <c r="V32" s="15"/>
      <c r="W32" s="15"/>
    </row>
    <row r="33" spans="2:23" x14ac:dyDescent="0.35">
      <c r="B33" s="32" t="s">
        <v>53</v>
      </c>
      <c r="C33" s="30" t="s">
        <v>54</v>
      </c>
      <c r="D33" s="30"/>
      <c r="F33" s="33">
        <v>7056</v>
      </c>
      <c r="G33" s="33">
        <v>6794</v>
      </c>
      <c r="H33" s="33">
        <v>6662</v>
      </c>
      <c r="I33" s="33">
        <v>5981</v>
      </c>
      <c r="J33" s="33">
        <v>5578</v>
      </c>
      <c r="K33" s="33">
        <v>6362</v>
      </c>
      <c r="L33" s="33">
        <v>5816</v>
      </c>
      <c r="M33" s="33">
        <v>7055</v>
      </c>
      <c r="N33" s="33">
        <v>7786</v>
      </c>
      <c r="O33" s="33">
        <v>7308</v>
      </c>
      <c r="P33" s="33">
        <v>6171</v>
      </c>
      <c r="Q33" s="33">
        <v>5504</v>
      </c>
      <c r="S33" s="33">
        <f t="shared" si="5"/>
        <v>78073</v>
      </c>
      <c r="T33" s="88">
        <f t="shared" si="4"/>
        <v>6506</v>
      </c>
      <c r="U33" s="40" t="s">
        <v>55</v>
      </c>
      <c r="V33" s="15"/>
      <c r="W33" s="15"/>
    </row>
    <row r="34" spans="2:23" x14ac:dyDescent="0.35">
      <c r="B34" s="24" t="str">
        <f t="shared" ref="B34:B35" si="7">B33</f>
        <v>水道・光熱費</v>
      </c>
      <c r="C34" s="30" t="s">
        <v>56</v>
      </c>
      <c r="D34" s="30"/>
      <c r="F34" s="33">
        <v>5995</v>
      </c>
      <c r="G34" s="33">
        <v>5676</v>
      </c>
      <c r="H34" s="33">
        <v>5283</v>
      </c>
      <c r="I34" s="33">
        <v>4203</v>
      </c>
      <c r="J34" s="33">
        <v>4155</v>
      </c>
      <c r="K34" s="33">
        <v>3646</v>
      </c>
      <c r="L34" s="33">
        <v>4162</v>
      </c>
      <c r="M34" s="33">
        <v>3590</v>
      </c>
      <c r="N34" s="33">
        <v>3695</v>
      </c>
      <c r="O34" s="33">
        <v>4258</v>
      </c>
      <c r="P34" s="33">
        <v>5242</v>
      </c>
      <c r="Q34" s="33">
        <v>6182</v>
      </c>
      <c r="S34" s="33">
        <f t="shared" si="5"/>
        <v>56087</v>
      </c>
      <c r="T34" s="88">
        <f t="shared" si="4"/>
        <v>4674</v>
      </c>
      <c r="U34" s="40" t="s">
        <v>57</v>
      </c>
      <c r="V34" s="15"/>
      <c r="W34" s="15"/>
    </row>
    <row r="35" spans="2:23" x14ac:dyDescent="0.35">
      <c r="B35" s="24" t="str">
        <f t="shared" si="7"/>
        <v>水道・光熱費</v>
      </c>
      <c r="C35" s="30" t="s">
        <v>58</v>
      </c>
      <c r="D35" s="30"/>
      <c r="F35" s="33">
        <v>0</v>
      </c>
      <c r="G35" s="33">
        <v>4661</v>
      </c>
      <c r="H35" s="33">
        <v>0</v>
      </c>
      <c r="I35" s="33">
        <v>5482</v>
      </c>
      <c r="J35" s="33">
        <v>0</v>
      </c>
      <c r="K35" s="33">
        <v>5389</v>
      </c>
      <c r="L35" s="33">
        <v>0</v>
      </c>
      <c r="M35" s="33">
        <v>4959</v>
      </c>
      <c r="N35" s="33">
        <v>0</v>
      </c>
      <c r="O35" s="33">
        <v>4610</v>
      </c>
      <c r="P35" s="33">
        <v>0</v>
      </c>
      <c r="Q35" s="33">
        <v>5023</v>
      </c>
      <c r="S35" s="33">
        <f t="shared" si="5"/>
        <v>30124</v>
      </c>
      <c r="T35" s="88">
        <f t="shared" si="4"/>
        <v>2510</v>
      </c>
      <c r="U35" s="40"/>
      <c r="V35" s="15"/>
      <c r="W35" s="15"/>
    </row>
    <row r="36" spans="2:23" x14ac:dyDescent="0.35">
      <c r="B36" s="24" t="s">
        <v>59</v>
      </c>
      <c r="C36" s="30" t="s">
        <v>60</v>
      </c>
      <c r="D36" s="30"/>
      <c r="F36" s="33">
        <v>3771</v>
      </c>
      <c r="G36" s="33">
        <v>4002</v>
      </c>
      <c r="H36" s="33">
        <v>4253</v>
      </c>
      <c r="I36" s="33">
        <v>4443</v>
      </c>
      <c r="J36" s="33">
        <v>3588</v>
      </c>
      <c r="K36" s="33">
        <v>4398</v>
      </c>
      <c r="L36" s="33">
        <v>3645</v>
      </c>
      <c r="M36" s="33">
        <v>4457</v>
      </c>
      <c r="N36" s="33">
        <v>3527</v>
      </c>
      <c r="O36" s="33">
        <v>4329</v>
      </c>
      <c r="P36" s="33">
        <v>3784</v>
      </c>
      <c r="Q36" s="33">
        <v>3577</v>
      </c>
      <c r="S36" s="33">
        <f t="shared" si="5"/>
        <v>47774</v>
      </c>
      <c r="T36" s="88">
        <f t="shared" si="4"/>
        <v>3981</v>
      </c>
      <c r="U36" s="40" t="s">
        <v>61</v>
      </c>
      <c r="V36" s="15"/>
      <c r="W36" s="15"/>
    </row>
    <row r="37" spans="2:23" x14ac:dyDescent="0.35">
      <c r="B37" s="32" t="str">
        <f t="shared" ref="B37" si="8">B36</f>
        <v>通信費</v>
      </c>
      <c r="C37" s="30" t="s">
        <v>62</v>
      </c>
      <c r="D37" s="30"/>
      <c r="F37" s="33">
        <v>4500</v>
      </c>
      <c r="G37" s="33">
        <v>4500</v>
      </c>
      <c r="H37" s="33">
        <v>4500</v>
      </c>
      <c r="I37" s="33">
        <v>4500</v>
      </c>
      <c r="J37" s="33">
        <v>4500</v>
      </c>
      <c r="K37" s="33">
        <v>4500</v>
      </c>
      <c r="L37" s="33">
        <v>4500</v>
      </c>
      <c r="M37" s="33">
        <v>4500</v>
      </c>
      <c r="N37" s="33">
        <v>4500</v>
      </c>
      <c r="O37" s="33">
        <v>4500</v>
      </c>
      <c r="P37" s="33">
        <v>4500</v>
      </c>
      <c r="Q37" s="33">
        <v>4500</v>
      </c>
      <c r="S37" s="33">
        <f t="shared" si="5"/>
        <v>54000</v>
      </c>
      <c r="T37" s="88">
        <f t="shared" si="4"/>
        <v>4500</v>
      </c>
      <c r="U37" s="40" t="s">
        <v>63</v>
      </c>
      <c r="V37" s="15"/>
      <c r="W37" s="15"/>
    </row>
    <row r="38" spans="2:23" x14ac:dyDescent="0.35">
      <c r="B38" s="24" t="s">
        <v>64</v>
      </c>
      <c r="C38" s="30" t="s">
        <v>65</v>
      </c>
      <c r="D38" s="30"/>
      <c r="F38" s="33">
        <v>18000</v>
      </c>
      <c r="G38" s="33">
        <v>18000</v>
      </c>
      <c r="H38" s="33">
        <v>18000</v>
      </c>
      <c r="I38" s="33">
        <v>18000</v>
      </c>
      <c r="J38" s="33">
        <v>18000</v>
      </c>
      <c r="K38" s="33">
        <v>18000</v>
      </c>
      <c r="L38" s="33">
        <v>18000</v>
      </c>
      <c r="M38" s="33">
        <v>18000</v>
      </c>
      <c r="N38" s="33">
        <v>18000</v>
      </c>
      <c r="O38" s="33">
        <v>18000</v>
      </c>
      <c r="P38" s="33">
        <v>18000</v>
      </c>
      <c r="Q38" s="33">
        <v>18000</v>
      </c>
      <c r="S38" s="33">
        <f t="shared" si="5"/>
        <v>216000</v>
      </c>
      <c r="T38" s="88">
        <f t="shared" si="4"/>
        <v>18000</v>
      </c>
      <c r="U38" s="40"/>
      <c r="V38" s="15"/>
      <c r="W38" s="15"/>
    </row>
    <row r="39" spans="2:23" x14ac:dyDescent="0.35">
      <c r="B39" s="24" t="s">
        <v>66</v>
      </c>
      <c r="C39" s="30" t="s">
        <v>67</v>
      </c>
      <c r="D39" s="30"/>
      <c r="F39" s="33">
        <v>1500</v>
      </c>
      <c r="G39" s="33">
        <v>1500</v>
      </c>
      <c r="H39" s="33">
        <v>1500</v>
      </c>
      <c r="I39" s="33">
        <v>1500</v>
      </c>
      <c r="J39" s="33">
        <v>4200</v>
      </c>
      <c r="K39" s="33">
        <v>1500</v>
      </c>
      <c r="L39" s="33">
        <v>1500</v>
      </c>
      <c r="M39" s="33">
        <v>1500</v>
      </c>
      <c r="N39" s="33">
        <v>3300</v>
      </c>
      <c r="O39" s="33">
        <v>1500</v>
      </c>
      <c r="P39" s="33">
        <v>1500</v>
      </c>
      <c r="Q39" s="33">
        <v>1500</v>
      </c>
      <c r="S39" s="33">
        <f t="shared" si="5"/>
        <v>22500</v>
      </c>
      <c r="T39" s="88">
        <f t="shared" si="4"/>
        <v>1875</v>
      </c>
      <c r="U39" s="40"/>
      <c r="V39" s="15"/>
      <c r="W39" s="15"/>
    </row>
    <row r="40" spans="2:23" x14ac:dyDescent="0.35">
      <c r="B40" s="32" t="s">
        <v>66</v>
      </c>
      <c r="C40" s="30" t="s">
        <v>68</v>
      </c>
      <c r="D40" s="30"/>
      <c r="F40" s="33">
        <v>11000</v>
      </c>
      <c r="G40" s="33">
        <v>11000</v>
      </c>
      <c r="H40" s="33">
        <v>11000</v>
      </c>
      <c r="I40" s="33">
        <v>11000</v>
      </c>
      <c r="J40" s="33">
        <v>11000</v>
      </c>
      <c r="K40" s="33">
        <v>11000</v>
      </c>
      <c r="L40" s="33">
        <v>11000</v>
      </c>
      <c r="M40" s="33">
        <v>11000</v>
      </c>
      <c r="N40" s="33">
        <v>11000</v>
      </c>
      <c r="O40" s="33">
        <v>11000</v>
      </c>
      <c r="P40" s="33">
        <v>11000</v>
      </c>
      <c r="Q40" s="33">
        <v>11000</v>
      </c>
      <c r="S40" s="33">
        <f t="shared" si="5"/>
        <v>132000</v>
      </c>
      <c r="T40" s="88">
        <f t="shared" si="4"/>
        <v>11000</v>
      </c>
      <c r="U40" s="40"/>
      <c r="V40" s="15"/>
      <c r="W40" s="15"/>
    </row>
    <row r="41" spans="2:23" x14ac:dyDescent="0.35">
      <c r="B41" s="24" t="s">
        <v>34</v>
      </c>
      <c r="C41" s="30" t="s">
        <v>69</v>
      </c>
      <c r="D41" s="30"/>
      <c r="F41" s="33">
        <v>35555</v>
      </c>
      <c r="G41" s="33">
        <v>36629</v>
      </c>
      <c r="H41" s="33">
        <v>41448</v>
      </c>
      <c r="I41" s="33">
        <v>37524</v>
      </c>
      <c r="J41" s="33">
        <v>41817</v>
      </c>
      <c r="K41" s="33">
        <v>37580</v>
      </c>
      <c r="L41" s="33">
        <v>37595</v>
      </c>
      <c r="M41" s="33">
        <v>41286</v>
      </c>
      <c r="N41" s="33">
        <v>38176</v>
      </c>
      <c r="O41" s="33">
        <v>36261</v>
      </c>
      <c r="P41" s="33">
        <v>40577</v>
      </c>
      <c r="Q41" s="33">
        <v>41600</v>
      </c>
      <c r="S41" s="33">
        <f t="shared" si="5"/>
        <v>466048</v>
      </c>
      <c r="T41" s="88">
        <f t="shared" si="4"/>
        <v>38837</v>
      </c>
      <c r="U41" s="40"/>
      <c r="V41" s="15"/>
      <c r="W41" s="15"/>
    </row>
    <row r="42" spans="2:23" x14ac:dyDescent="0.35">
      <c r="B42" s="24" t="s">
        <v>34</v>
      </c>
      <c r="C42" s="30" t="s">
        <v>36</v>
      </c>
      <c r="D42" s="30"/>
      <c r="F42" s="33">
        <v>39700</v>
      </c>
      <c r="G42" s="33">
        <v>9700</v>
      </c>
      <c r="H42" s="33">
        <v>9600</v>
      </c>
      <c r="I42" s="33">
        <v>10400</v>
      </c>
      <c r="J42" s="33">
        <v>40000</v>
      </c>
      <c r="K42" s="33">
        <v>10400</v>
      </c>
      <c r="L42" s="33">
        <v>9700</v>
      </c>
      <c r="M42" s="33">
        <v>39900</v>
      </c>
      <c r="N42" s="33">
        <v>39500</v>
      </c>
      <c r="O42" s="33">
        <v>20100</v>
      </c>
      <c r="P42" s="33">
        <v>9700</v>
      </c>
      <c r="Q42" s="33">
        <v>40000</v>
      </c>
      <c r="S42" s="33">
        <f t="shared" si="5"/>
        <v>278700</v>
      </c>
      <c r="T42" s="88">
        <f t="shared" si="4"/>
        <v>23225</v>
      </c>
      <c r="U42" s="40"/>
      <c r="V42" s="15"/>
      <c r="W42" s="15"/>
    </row>
    <row r="43" spans="2:23" x14ac:dyDescent="0.35">
      <c r="B43" s="32" t="s">
        <v>30</v>
      </c>
      <c r="C43" s="30" t="s">
        <v>70</v>
      </c>
      <c r="D43" s="30"/>
      <c r="F43" s="33">
        <v>4951</v>
      </c>
      <c r="G43" s="33">
        <v>853</v>
      </c>
      <c r="H43" s="33">
        <v>4660</v>
      </c>
      <c r="I43" s="33">
        <v>0</v>
      </c>
      <c r="J43" s="33">
        <v>3229</v>
      </c>
      <c r="K43" s="33">
        <v>5006</v>
      </c>
      <c r="L43" s="33">
        <v>2564</v>
      </c>
      <c r="M43" s="33">
        <v>0</v>
      </c>
      <c r="N43" s="33">
        <v>319</v>
      </c>
      <c r="O43" s="33">
        <v>1172</v>
      </c>
      <c r="P43" s="33">
        <v>279</v>
      </c>
      <c r="Q43" s="33">
        <v>0</v>
      </c>
      <c r="S43" s="33">
        <f t="shared" si="5"/>
        <v>23033</v>
      </c>
      <c r="T43" s="88">
        <f t="shared" si="4"/>
        <v>1919</v>
      </c>
      <c r="U43" s="40"/>
      <c r="V43" s="15"/>
      <c r="W43" s="15"/>
    </row>
    <row r="44" spans="2:23" x14ac:dyDescent="0.35">
      <c r="B44" s="24" t="s">
        <v>30</v>
      </c>
      <c r="C44" s="30" t="s">
        <v>30</v>
      </c>
      <c r="D44" s="30"/>
      <c r="F44" s="33">
        <v>8486</v>
      </c>
      <c r="G44" s="33">
        <v>4794</v>
      </c>
      <c r="H44" s="33">
        <v>2446</v>
      </c>
      <c r="I44" s="33">
        <v>9137</v>
      </c>
      <c r="J44" s="33">
        <v>353</v>
      </c>
      <c r="K44" s="33">
        <v>2732</v>
      </c>
      <c r="L44" s="33">
        <v>8777</v>
      </c>
      <c r="M44" s="33">
        <v>4944</v>
      </c>
      <c r="N44" s="33">
        <v>1987</v>
      </c>
      <c r="O44" s="33">
        <v>3633</v>
      </c>
      <c r="P44" s="33">
        <v>4921</v>
      </c>
      <c r="Q44" s="33">
        <v>4347</v>
      </c>
      <c r="S44" s="33">
        <f t="shared" si="5"/>
        <v>56557</v>
      </c>
      <c r="T44" s="88">
        <f t="shared" si="4"/>
        <v>4713</v>
      </c>
      <c r="U44" s="40"/>
      <c r="V44" s="15"/>
      <c r="W44" s="15"/>
    </row>
    <row r="45" spans="2:23" x14ac:dyDescent="0.35">
      <c r="B45" s="24" t="s">
        <v>71</v>
      </c>
      <c r="C45" s="30" t="s">
        <v>72</v>
      </c>
      <c r="D45" s="30"/>
      <c r="F45" s="25">
        <v>20642</v>
      </c>
      <c r="G45" s="25">
        <v>6621</v>
      </c>
      <c r="H45" s="25">
        <v>0</v>
      </c>
      <c r="I45" s="25">
        <v>4302</v>
      </c>
      <c r="J45" s="25">
        <v>0</v>
      </c>
      <c r="K45" s="25">
        <v>0</v>
      </c>
      <c r="L45" s="25">
        <v>0</v>
      </c>
      <c r="M45" s="25">
        <v>4517</v>
      </c>
      <c r="N45" s="25">
        <v>17470</v>
      </c>
      <c r="O45" s="25">
        <v>0</v>
      </c>
      <c r="P45" s="25">
        <v>0</v>
      </c>
      <c r="Q45" s="25">
        <v>20390</v>
      </c>
      <c r="S45" s="25">
        <f t="shared" si="5"/>
        <v>73942</v>
      </c>
      <c r="T45" s="86">
        <f t="shared" si="4"/>
        <v>6162</v>
      </c>
      <c r="U45" s="38"/>
      <c r="V45" s="15"/>
      <c r="W45" s="15"/>
    </row>
    <row r="46" spans="2:23" x14ac:dyDescent="0.35">
      <c r="B46" s="24" t="s">
        <v>71</v>
      </c>
      <c r="C46" s="30" t="s">
        <v>73</v>
      </c>
      <c r="D46" s="30"/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30000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S46" s="25">
        <f t="shared" si="5"/>
        <v>30000</v>
      </c>
      <c r="T46" s="86">
        <f t="shared" si="4"/>
        <v>2500</v>
      </c>
      <c r="U46" s="38"/>
      <c r="V46" s="15"/>
      <c r="W46" s="15"/>
    </row>
    <row r="47" spans="2:23" x14ac:dyDescent="0.35">
      <c r="B47" s="32" t="s">
        <v>29</v>
      </c>
      <c r="C47" s="30" t="s">
        <v>74</v>
      </c>
      <c r="D47" s="30"/>
      <c r="F47" s="33">
        <v>6669</v>
      </c>
      <c r="G47" s="33">
        <v>3102</v>
      </c>
      <c r="H47" s="33">
        <v>2921</v>
      </c>
      <c r="I47" s="33">
        <v>7154</v>
      </c>
      <c r="J47" s="33">
        <v>1502</v>
      </c>
      <c r="K47" s="33">
        <v>4292</v>
      </c>
      <c r="L47" s="33">
        <v>5982</v>
      </c>
      <c r="M47" s="33">
        <v>179</v>
      </c>
      <c r="N47" s="33">
        <v>5875</v>
      </c>
      <c r="O47" s="33">
        <v>4666</v>
      </c>
      <c r="P47" s="33">
        <v>1103</v>
      </c>
      <c r="Q47" s="33">
        <v>5354</v>
      </c>
      <c r="S47" s="33">
        <f t="shared" si="5"/>
        <v>48799</v>
      </c>
      <c r="T47" s="88">
        <f t="shared" si="4"/>
        <v>4067</v>
      </c>
      <c r="U47" s="40"/>
      <c r="V47" s="15"/>
      <c r="W47" s="15"/>
    </row>
    <row r="48" spans="2:23" x14ac:dyDescent="0.35">
      <c r="B48" s="24" t="s">
        <v>29</v>
      </c>
      <c r="C48" s="30" t="s">
        <v>75</v>
      </c>
      <c r="D48" s="30"/>
      <c r="F48" s="33">
        <v>1800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990</v>
      </c>
      <c r="N48" s="33">
        <v>0</v>
      </c>
      <c r="O48" s="33">
        <v>0</v>
      </c>
      <c r="P48" s="33">
        <v>0</v>
      </c>
      <c r="Q48" s="33">
        <v>1580</v>
      </c>
      <c r="S48" s="33">
        <f t="shared" si="5"/>
        <v>4370</v>
      </c>
      <c r="T48" s="88">
        <f t="shared" si="4"/>
        <v>364</v>
      </c>
      <c r="U48" s="40"/>
      <c r="V48" s="15"/>
      <c r="W48" s="15"/>
    </row>
    <row r="49" spans="2:23" x14ac:dyDescent="0.35">
      <c r="B49" s="24" t="s">
        <v>29</v>
      </c>
      <c r="C49" s="30" t="s">
        <v>76</v>
      </c>
      <c r="D49" s="30"/>
      <c r="F49" s="25">
        <v>0</v>
      </c>
      <c r="G49" s="25">
        <v>0</v>
      </c>
      <c r="H49" s="25">
        <v>0</v>
      </c>
      <c r="I49" s="25">
        <v>0</v>
      </c>
      <c r="J49" s="25">
        <v>99051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103903</v>
      </c>
      <c r="Q49" s="25">
        <v>0</v>
      </c>
      <c r="S49" s="25">
        <f t="shared" si="5"/>
        <v>202954</v>
      </c>
      <c r="T49" s="86">
        <f t="shared" si="4"/>
        <v>16913</v>
      </c>
      <c r="U49" s="38"/>
      <c r="V49" s="15"/>
      <c r="W49" s="15"/>
    </row>
    <row r="50" spans="2:23" x14ac:dyDescent="0.35">
      <c r="B50" s="24" t="s">
        <v>35</v>
      </c>
      <c r="C50" s="30" t="s">
        <v>77</v>
      </c>
      <c r="D50" s="30"/>
      <c r="F50" s="25">
        <v>6500</v>
      </c>
      <c r="G50" s="25">
        <v>5900</v>
      </c>
      <c r="H50" s="25">
        <v>9500</v>
      </c>
      <c r="I50" s="25">
        <v>9800</v>
      </c>
      <c r="J50" s="25">
        <v>8200</v>
      </c>
      <c r="K50" s="25">
        <v>8400</v>
      </c>
      <c r="L50" s="25">
        <v>500</v>
      </c>
      <c r="M50" s="25">
        <v>8400</v>
      </c>
      <c r="N50" s="25">
        <v>5300</v>
      </c>
      <c r="O50" s="25">
        <v>800</v>
      </c>
      <c r="P50" s="25">
        <v>2300</v>
      </c>
      <c r="Q50" s="25">
        <v>9600</v>
      </c>
      <c r="S50" s="25">
        <f t="shared" si="5"/>
        <v>75200</v>
      </c>
      <c r="T50" s="86">
        <f t="shared" si="4"/>
        <v>6267</v>
      </c>
      <c r="U50" s="38"/>
      <c r="V50" s="15"/>
      <c r="W50" s="15"/>
    </row>
    <row r="51" spans="2:23" x14ac:dyDescent="0.35">
      <c r="B51" s="24" t="s">
        <v>35</v>
      </c>
      <c r="C51" s="30" t="s">
        <v>78</v>
      </c>
      <c r="D51" s="30"/>
      <c r="F51" s="25">
        <v>5500</v>
      </c>
      <c r="G51" s="25">
        <v>6000</v>
      </c>
      <c r="H51" s="25">
        <v>5500</v>
      </c>
      <c r="I51" s="25">
        <v>0</v>
      </c>
      <c r="J51" s="25">
        <v>6000</v>
      </c>
      <c r="K51" s="25">
        <v>5500</v>
      </c>
      <c r="L51" s="25">
        <v>0</v>
      </c>
      <c r="M51" s="25">
        <v>11500</v>
      </c>
      <c r="N51" s="25">
        <v>0</v>
      </c>
      <c r="O51" s="25">
        <v>0</v>
      </c>
      <c r="P51" s="25">
        <v>5500</v>
      </c>
      <c r="Q51" s="25">
        <v>6000</v>
      </c>
      <c r="S51" s="25">
        <f t="shared" si="5"/>
        <v>51500</v>
      </c>
      <c r="T51" s="86">
        <f t="shared" si="4"/>
        <v>4292</v>
      </c>
      <c r="U51" s="38"/>
      <c r="V51" s="15"/>
      <c r="W51" s="15"/>
    </row>
    <row r="52" spans="2:23" x14ac:dyDescent="0.35">
      <c r="B52" s="24" t="s">
        <v>35</v>
      </c>
      <c r="C52" s="30" t="s">
        <v>79</v>
      </c>
      <c r="D52" s="30"/>
      <c r="F52" s="25">
        <v>3400</v>
      </c>
      <c r="G52" s="25">
        <v>0</v>
      </c>
      <c r="H52" s="25">
        <v>5100</v>
      </c>
      <c r="I52" s="25">
        <v>2100</v>
      </c>
      <c r="J52" s="25">
        <v>0</v>
      </c>
      <c r="K52" s="25">
        <v>1800</v>
      </c>
      <c r="L52" s="25">
        <v>1600</v>
      </c>
      <c r="M52" s="25">
        <v>2600</v>
      </c>
      <c r="N52" s="25">
        <v>4100</v>
      </c>
      <c r="O52" s="25">
        <v>3400</v>
      </c>
      <c r="P52" s="25">
        <v>0</v>
      </c>
      <c r="Q52" s="25">
        <v>0</v>
      </c>
      <c r="S52" s="25">
        <f t="shared" si="5"/>
        <v>24100</v>
      </c>
      <c r="T52" s="86">
        <f t="shared" si="4"/>
        <v>2008</v>
      </c>
      <c r="U52" s="38"/>
      <c r="V52" s="15"/>
      <c r="W52" s="15"/>
    </row>
    <row r="53" spans="2:23" x14ac:dyDescent="0.35">
      <c r="B53" s="24" t="s">
        <v>80</v>
      </c>
      <c r="C53" s="30" t="s">
        <v>81</v>
      </c>
      <c r="D53" s="30"/>
      <c r="F53" s="25">
        <v>3900</v>
      </c>
      <c r="G53" s="25">
        <v>0</v>
      </c>
      <c r="H53" s="25">
        <v>0</v>
      </c>
      <c r="I53" s="25">
        <v>0</v>
      </c>
      <c r="J53" s="25">
        <v>3900</v>
      </c>
      <c r="K53" s="25">
        <v>0</v>
      </c>
      <c r="L53" s="25">
        <v>0</v>
      </c>
      <c r="M53" s="25">
        <v>2900</v>
      </c>
      <c r="N53" s="25">
        <v>0</v>
      </c>
      <c r="O53" s="25">
        <v>4200</v>
      </c>
      <c r="P53" s="25">
        <v>0</v>
      </c>
      <c r="Q53" s="25">
        <v>5000</v>
      </c>
      <c r="S53" s="25">
        <f t="shared" si="5"/>
        <v>19900</v>
      </c>
      <c r="T53" s="86">
        <f t="shared" si="4"/>
        <v>1658</v>
      </c>
      <c r="U53" s="38"/>
      <c r="V53" s="15"/>
      <c r="W53" s="15"/>
    </row>
    <row r="54" spans="2:23" x14ac:dyDescent="0.35">
      <c r="B54" s="24" t="s">
        <v>80</v>
      </c>
      <c r="C54" s="30" t="s">
        <v>82</v>
      </c>
      <c r="D54" s="30"/>
      <c r="F54" s="25">
        <v>1430</v>
      </c>
      <c r="G54" s="25">
        <v>0</v>
      </c>
      <c r="H54" s="25">
        <v>0</v>
      </c>
      <c r="I54" s="25">
        <v>0</v>
      </c>
      <c r="J54" s="25">
        <v>1050</v>
      </c>
      <c r="K54" s="25">
        <v>0</v>
      </c>
      <c r="L54" s="25">
        <v>0</v>
      </c>
      <c r="M54" s="25">
        <v>980</v>
      </c>
      <c r="N54" s="25">
        <v>0</v>
      </c>
      <c r="O54" s="25">
        <v>2240</v>
      </c>
      <c r="P54" s="25">
        <v>2020</v>
      </c>
      <c r="Q54" s="25">
        <v>520</v>
      </c>
      <c r="S54" s="25">
        <f t="shared" si="5"/>
        <v>8240</v>
      </c>
      <c r="T54" s="86">
        <f t="shared" si="4"/>
        <v>687</v>
      </c>
      <c r="U54" s="38"/>
      <c r="V54" s="15"/>
      <c r="W54" s="15"/>
    </row>
    <row r="55" spans="2:23" x14ac:dyDescent="0.35">
      <c r="B55" s="24" t="s">
        <v>83</v>
      </c>
      <c r="C55" s="30" t="s">
        <v>84</v>
      </c>
      <c r="D55" s="30"/>
      <c r="F55" s="25">
        <v>38000</v>
      </c>
      <c r="G55" s="25">
        <v>0</v>
      </c>
      <c r="H55" s="25">
        <v>0</v>
      </c>
      <c r="I55" s="25">
        <v>37000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73000</v>
      </c>
      <c r="S55" s="25">
        <f t="shared" si="5"/>
        <v>148000</v>
      </c>
      <c r="T55" s="86">
        <f t="shared" si="4"/>
        <v>12333</v>
      </c>
      <c r="U55" s="38"/>
      <c r="V55" s="15"/>
      <c r="W55" s="15"/>
    </row>
    <row r="56" spans="2:23" x14ac:dyDescent="0.35">
      <c r="B56" s="24" t="s">
        <v>37</v>
      </c>
      <c r="C56" s="30" t="s">
        <v>85</v>
      </c>
      <c r="D56" s="30"/>
      <c r="F56" s="25">
        <v>2000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4500</v>
      </c>
      <c r="O56" s="25">
        <v>0</v>
      </c>
      <c r="P56" s="25">
        <v>0</v>
      </c>
      <c r="Q56" s="25">
        <v>1300</v>
      </c>
      <c r="S56" s="25">
        <f t="shared" si="5"/>
        <v>7800</v>
      </c>
      <c r="T56" s="86">
        <f t="shared" si="4"/>
        <v>650</v>
      </c>
      <c r="U56" s="38"/>
      <c r="V56" s="15"/>
      <c r="W56" s="15"/>
    </row>
    <row r="57" spans="2:23" x14ac:dyDescent="0.35">
      <c r="B57" s="24"/>
      <c r="C57" s="30"/>
      <c r="D57" s="30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S57" s="25" t="str">
        <f t="shared" si="5"/>
        <v/>
      </c>
      <c r="T57" s="86" t="str">
        <f t="shared" si="4"/>
        <v/>
      </c>
      <c r="U57" s="38"/>
      <c r="V57" s="15"/>
      <c r="W57" s="15"/>
    </row>
    <row r="58" spans="2:23" x14ac:dyDescent="0.35">
      <c r="B58" s="24"/>
      <c r="C58" s="30"/>
      <c r="D58" s="30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S58" s="25" t="str">
        <f t="shared" si="5"/>
        <v/>
      </c>
      <c r="T58" s="86" t="str">
        <f t="shared" si="4"/>
        <v/>
      </c>
      <c r="U58" s="38"/>
      <c r="V58" s="15"/>
      <c r="W58" s="15"/>
    </row>
    <row r="59" spans="2:23" x14ac:dyDescent="0.35">
      <c r="B59" s="24"/>
      <c r="C59" s="30"/>
      <c r="D59" s="30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S59" s="25"/>
      <c r="T59" s="86" t="str">
        <f t="shared" si="4"/>
        <v/>
      </c>
      <c r="U59" s="38"/>
      <c r="V59" s="15"/>
      <c r="W59" s="15"/>
    </row>
    <row r="60" spans="2:23" x14ac:dyDescent="0.35">
      <c r="B60" s="24"/>
      <c r="C60" s="30"/>
      <c r="D60" s="30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S60" s="25"/>
      <c r="T60" s="88" t="str">
        <f t="shared" si="4"/>
        <v/>
      </c>
      <c r="U60" s="38"/>
      <c r="V60" s="15"/>
      <c r="W60" s="15"/>
    </row>
    <row r="61" spans="2:23" x14ac:dyDescent="0.35">
      <c r="B61" s="24"/>
      <c r="C61" s="30"/>
      <c r="D61" s="30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S61" s="25"/>
      <c r="T61" s="88" t="str">
        <f t="shared" si="4"/>
        <v/>
      </c>
      <c r="U61" s="38"/>
      <c r="V61" s="15"/>
      <c r="W61" s="15"/>
    </row>
    <row r="62" spans="2:23" x14ac:dyDescent="0.35">
      <c r="B62" s="24"/>
      <c r="C62" s="30"/>
      <c r="D62" s="30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S62" s="25"/>
      <c r="T62" s="88" t="str">
        <f t="shared" si="4"/>
        <v/>
      </c>
      <c r="U62" s="38"/>
      <c r="V62" s="15"/>
      <c r="W62" s="15"/>
    </row>
    <row r="63" spans="2:23" x14ac:dyDescent="0.35">
      <c r="B63" s="24"/>
      <c r="C63" s="30"/>
      <c r="D63" s="30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S63" s="25"/>
      <c r="T63" s="88" t="str">
        <f t="shared" si="4"/>
        <v/>
      </c>
      <c r="U63" s="38"/>
      <c r="V63" s="15"/>
      <c r="W63" s="15"/>
    </row>
    <row r="64" spans="2:23" x14ac:dyDescent="0.35">
      <c r="B64" s="24"/>
      <c r="C64" s="30"/>
      <c r="D64" s="30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S64" s="25"/>
      <c r="T64" s="88" t="str">
        <f t="shared" si="4"/>
        <v/>
      </c>
      <c r="U64" s="38"/>
      <c r="V64" s="15"/>
      <c r="W64" s="15"/>
    </row>
    <row r="65" spans="2:23" x14ac:dyDescent="0.35">
      <c r="B65" s="24"/>
      <c r="C65" s="30"/>
      <c r="D65" s="30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S65" s="25"/>
      <c r="T65" s="88" t="str">
        <f t="shared" si="4"/>
        <v/>
      </c>
      <c r="U65" s="38"/>
      <c r="V65" s="15"/>
      <c r="W65" s="15"/>
    </row>
    <row r="66" spans="2:23" x14ac:dyDescent="0.35">
      <c r="B66" s="24"/>
      <c r="C66" s="30"/>
      <c r="D66" s="30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S66" s="25"/>
      <c r="T66" s="88" t="str">
        <f t="shared" si="4"/>
        <v/>
      </c>
      <c r="U66" s="38"/>
      <c r="V66" s="15"/>
      <c r="W66" s="15"/>
    </row>
    <row r="67" spans="2:23" x14ac:dyDescent="0.35">
      <c r="B67" s="24"/>
      <c r="C67" s="30"/>
      <c r="D67" s="30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S67" s="25"/>
      <c r="T67" s="88" t="str">
        <f t="shared" si="4"/>
        <v/>
      </c>
      <c r="U67" s="38"/>
      <c r="V67" s="15"/>
      <c r="W67" s="15"/>
    </row>
    <row r="68" spans="2:23" x14ac:dyDescent="0.35">
      <c r="B68" s="24"/>
      <c r="C68" s="30"/>
      <c r="D68" s="30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S68" s="25"/>
      <c r="T68" s="88" t="str">
        <f t="shared" si="4"/>
        <v/>
      </c>
      <c r="U68" s="38"/>
      <c r="V68" s="15"/>
      <c r="W68" s="15"/>
    </row>
    <row r="69" spans="2:23" x14ac:dyDescent="0.35">
      <c r="B69" s="24"/>
      <c r="C69" s="30"/>
      <c r="D69" s="30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S69" s="25"/>
      <c r="T69" s="88" t="str">
        <f t="shared" si="4"/>
        <v/>
      </c>
      <c r="U69" s="38"/>
      <c r="V69" s="15"/>
      <c r="W69" s="15"/>
    </row>
    <row r="70" spans="2:23" x14ac:dyDescent="0.35">
      <c r="B70" s="24"/>
      <c r="C70" s="30"/>
      <c r="D70" s="30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S70" s="25"/>
      <c r="T70" s="88" t="str">
        <f t="shared" si="4"/>
        <v/>
      </c>
      <c r="U70" s="38"/>
      <c r="V70" s="15"/>
      <c r="W70" s="15"/>
    </row>
    <row r="71" spans="2:23" x14ac:dyDescent="0.35">
      <c r="B71" s="24"/>
      <c r="C71" s="30"/>
      <c r="D71" s="30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S71" s="25"/>
      <c r="T71" s="88" t="str">
        <f t="shared" si="4"/>
        <v/>
      </c>
      <c r="U71" s="38"/>
      <c r="V71" s="15"/>
      <c r="W71" s="15"/>
    </row>
    <row r="72" spans="2:23" x14ac:dyDescent="0.35">
      <c r="B72" s="24"/>
      <c r="C72" s="30"/>
      <c r="D72" s="30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S72" s="25"/>
      <c r="T72" s="88" t="str">
        <f t="shared" si="4"/>
        <v/>
      </c>
      <c r="U72" s="38"/>
      <c r="V72" s="15"/>
      <c r="W72" s="15"/>
    </row>
    <row r="73" spans="2:23" x14ac:dyDescent="0.35">
      <c r="B73" s="24"/>
      <c r="C73" s="30"/>
      <c r="D73" s="30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S73" s="25"/>
      <c r="T73" s="88" t="str">
        <f t="shared" si="4"/>
        <v/>
      </c>
      <c r="U73" s="38"/>
      <c r="V73" s="15"/>
      <c r="W73" s="15"/>
    </row>
    <row r="74" spans="2:23" x14ac:dyDescent="0.35">
      <c r="B74" s="24"/>
      <c r="C74" s="30"/>
      <c r="D74" s="30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S74" s="25"/>
      <c r="T74" s="88" t="str">
        <f t="shared" si="4"/>
        <v/>
      </c>
      <c r="U74" s="38"/>
      <c r="V74" s="15"/>
      <c r="W74" s="15"/>
    </row>
    <row r="75" spans="2:23" x14ac:dyDescent="0.35">
      <c r="B75" s="24"/>
      <c r="C75" s="30"/>
      <c r="D75" s="30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S75" s="25"/>
      <c r="T75" s="88" t="str">
        <f t="shared" si="4"/>
        <v/>
      </c>
      <c r="U75" s="38"/>
      <c r="V75" s="15"/>
      <c r="W75" s="15"/>
    </row>
    <row r="76" spans="2:23" x14ac:dyDescent="0.35">
      <c r="B76" s="24"/>
      <c r="C76" s="30"/>
      <c r="D76" s="30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S76" s="25"/>
      <c r="T76" s="88" t="str">
        <f t="shared" si="4"/>
        <v/>
      </c>
      <c r="U76" s="38"/>
      <c r="V76" s="15"/>
      <c r="W76" s="15"/>
    </row>
    <row r="77" spans="2:23" x14ac:dyDescent="0.35">
      <c r="B77" s="24"/>
      <c r="C77" s="30"/>
      <c r="D77" s="30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S77" s="25"/>
      <c r="T77" s="88" t="str">
        <f t="shared" si="4"/>
        <v/>
      </c>
      <c r="U77" s="38"/>
      <c r="V77" s="15"/>
      <c r="W77" s="15"/>
    </row>
    <row r="78" spans="2:23" x14ac:dyDescent="0.35">
      <c r="B78" s="24"/>
      <c r="C78" s="30"/>
      <c r="D78" s="30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S78" s="25"/>
      <c r="T78" s="88" t="str">
        <f t="shared" si="4"/>
        <v/>
      </c>
      <c r="U78" s="38"/>
      <c r="V78" s="15"/>
      <c r="W78" s="15"/>
    </row>
    <row r="79" spans="2:23" x14ac:dyDescent="0.35">
      <c r="B79" s="24"/>
      <c r="C79" s="30"/>
      <c r="D79" s="30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S79" s="25" t="str">
        <f t="shared" si="5"/>
        <v/>
      </c>
      <c r="T79" s="88" t="str">
        <f t="shared" si="4"/>
        <v/>
      </c>
      <c r="U79" s="38"/>
      <c r="V79" s="15"/>
      <c r="W79" s="15"/>
    </row>
    <row r="80" spans="2:23" x14ac:dyDescent="0.35">
      <c r="B80" s="26"/>
      <c r="C80" s="34"/>
      <c r="D80" s="34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S80" s="27" t="str">
        <f t="shared" si="5"/>
        <v/>
      </c>
      <c r="T80" s="93" t="str">
        <f t="shared" si="4"/>
        <v/>
      </c>
      <c r="U80" s="39"/>
    </row>
  </sheetData>
  <sheetProtection algorithmName="SHA-512" hashValue="XAHNCZUdGjga3v6d06vfA8LsNDnyICR4pIGywDcgBNr6b6uQGV+Y+AHHMIQt4+1RET7Z+75OXfutn39LffXEnQ==" saltValue="FFHS3ObK2dra1Y9wpczK5A==" spinCount="100000" sheet="1" objects="1" scenarios="1"/>
  <phoneticPr fontId="10"/>
  <conditionalFormatting sqref="B31">
    <cfRule type="expression" dxfId="2" priority="2">
      <formula>B31=C30</formula>
    </cfRule>
  </conditionalFormatting>
  <conditionalFormatting sqref="B32:B78">
    <cfRule type="expression" dxfId="1" priority="1">
      <formula>B32=B31</formula>
    </cfRule>
  </conditionalFormatting>
  <conditionalFormatting sqref="B79">
    <cfRule type="expression" dxfId="0" priority="67">
      <formula>B79=B58</formula>
    </cfRule>
  </conditionalFormatting>
  <pageMargins left="0.23622047244094499" right="0.23622047244094499" top="0.55118110236220497" bottom="0.55118110236220497" header="0.31496062992126" footer="0.31496062992126"/>
  <pageSetup paperSize="9" scale="5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134"/>
  <sheetViews>
    <sheetView zoomScale="85" zoomScaleNormal="85" workbookViewId="0"/>
  </sheetViews>
  <sheetFormatPr defaultColWidth="9.28515625" defaultRowHeight="15" x14ac:dyDescent="0.35"/>
  <cols>
    <col min="1" max="1" width="9.28515625" style="1"/>
    <col min="2" max="2" width="9.28515625" style="1" customWidth="1"/>
    <col min="3" max="3" width="11.85546875" style="1" customWidth="1"/>
    <col min="4" max="4" width="11.42578125" style="1" customWidth="1"/>
    <col min="5" max="5" width="9.28515625" style="1"/>
    <col min="6" max="6" width="14.140625" style="1" customWidth="1"/>
    <col min="7" max="18" width="10.5703125" style="1" customWidth="1"/>
    <col min="19" max="19" width="11.28515625" style="1" customWidth="1"/>
    <col min="20" max="20" width="13.85546875" style="1" customWidth="1"/>
    <col min="21" max="21" width="9.28515625" style="3"/>
    <col min="22" max="16384" width="9.28515625" style="1"/>
  </cols>
  <sheetData>
    <row r="1" spans="1:35" x14ac:dyDescent="0.35">
      <c r="B1" s="2">
        <f>一覧!$C$1</f>
        <v>7</v>
      </c>
      <c r="C1" s="2" t="s">
        <v>0</v>
      </c>
    </row>
    <row r="2" spans="1:35" x14ac:dyDescent="0.35">
      <c r="A2" s="3"/>
      <c r="B2" s="3"/>
      <c r="C2" s="3"/>
      <c r="D2" s="3"/>
      <c r="E2" s="3"/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R2" s="3">
        <v>11</v>
      </c>
      <c r="S2" s="3">
        <v>12</v>
      </c>
    </row>
    <row r="3" spans="1:35" x14ac:dyDescent="0.35">
      <c r="A3" s="3"/>
      <c r="B3" s="4" t="s">
        <v>21</v>
      </c>
      <c r="C3" s="5" cm="1">
        <f t="array" ref="C3">IF($B$1&lt;1,"",INDEX(入力!$F$5:$Q$5,0,$B$1))</f>
        <v>5479410</v>
      </c>
      <c r="E3" s="1" t="s">
        <v>86</v>
      </c>
      <c r="F3" s="6">
        <f>IFERROR(C3-F4,"")</f>
        <v>6764354</v>
      </c>
      <c r="H3" s="1" t="s">
        <v>87</v>
      </c>
      <c r="I3" s="6">
        <f>IF(入力!D5&lt;&gt;0,入力!D5,"")</f>
        <v>3175792</v>
      </c>
    </row>
    <row r="4" spans="1:35" x14ac:dyDescent="0.35">
      <c r="A4" s="3"/>
      <c r="B4" s="1" t="s">
        <v>88</v>
      </c>
      <c r="C4" s="6" cm="1">
        <f t="array" ref="C4">IF($B$1&lt;=1,"",INDEX(入力!$F$5:$Q$5,0,$B$1-1))</f>
        <v>4882055</v>
      </c>
      <c r="E4" s="1" t="s">
        <v>45</v>
      </c>
      <c r="F4" s="6">
        <f>SUMIFS(INDEX(入力!$F$6:$Q$15,0,集計!$B$1),INDEX(入力!$F$6:$Q$15,0,集計!$B$1),"&lt;0")</f>
        <v>-1284944</v>
      </c>
      <c r="H4" s="1" t="s">
        <v>89</v>
      </c>
      <c r="I4" s="6">
        <f>IF(I3="","",ROUND((C3-I3)/10000,0))</f>
        <v>230</v>
      </c>
    </row>
    <row r="6" spans="1:35" ht="15.75" x14ac:dyDescent="0.35">
      <c r="B6" s="1" t="s">
        <v>90</v>
      </c>
      <c r="E6"/>
      <c r="G6" s="1" t="s">
        <v>91</v>
      </c>
      <c r="R6" s="9"/>
    </row>
    <row r="7" spans="1:35" ht="16.5" x14ac:dyDescent="0.35">
      <c r="B7" s="7" t="s">
        <v>6</v>
      </c>
      <c r="C7" s="7" t="s">
        <v>92</v>
      </c>
      <c r="D7" s="7" t="s">
        <v>93</v>
      </c>
      <c r="E7"/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U7" s="103" t="s">
        <v>108</v>
      </c>
      <c r="V7" s="7" t="s">
        <v>6</v>
      </c>
      <c r="W7" s="7" t="s">
        <v>7</v>
      </c>
      <c r="X7" s="7" t="s">
        <v>8</v>
      </c>
      <c r="Y7" s="7" t="s">
        <v>9</v>
      </c>
      <c r="Z7" s="7" t="s">
        <v>10</v>
      </c>
      <c r="AA7" s="7" t="s">
        <v>11</v>
      </c>
      <c r="AB7" s="7" t="s">
        <v>12</v>
      </c>
      <c r="AC7" s="7" t="s">
        <v>13</v>
      </c>
      <c r="AD7" s="7" t="s">
        <v>14</v>
      </c>
      <c r="AE7" s="7" t="s">
        <v>15</v>
      </c>
      <c r="AF7" s="7" t="s">
        <v>16</v>
      </c>
      <c r="AG7" s="7" t="s">
        <v>17</v>
      </c>
      <c r="AH7" s="7" t="s">
        <v>18</v>
      </c>
    </row>
    <row r="8" spans="1:35" x14ac:dyDescent="0.35">
      <c r="A8" s="3">
        <f>MATCH(B8,入力!$B:$B,0)</f>
        <v>6</v>
      </c>
      <c r="B8" s="1" t="str">
        <f>入力!$B6</f>
        <v>現預金</v>
      </c>
      <c r="C8" s="1" t="str">
        <f>IF(D8/$C$3&lt;0.05,"",B8)</f>
        <v>現預金</v>
      </c>
      <c r="D8" s="6">
        <f>IF(SUMIFS(INDEX(入力!$F$6:$Q$15,0,集計!$B$1),入力!$B$6:$B$15,集計!$B8)&lt;0,0,SUMIFS(INDEX(入力!$F$6:$Q$15,0,集計!$B$1),入力!$B$6:$B$15,集計!$B8))</f>
        <v>1861248</v>
      </c>
      <c r="E8" s="3">
        <f>IF(COUNTIF(入力!$B$6:'入力'!B6,入力!B6)=1,ROW(入力!B6),"")</f>
        <v>6</v>
      </c>
      <c r="G8" s="1" t="str">
        <f>B8</f>
        <v>現預金</v>
      </c>
      <c r="H8" s="6">
        <f>IF(G8="","",IF(H$2&gt;$B$1,NA(),ROUND(SUMIF(入力!$B$6:$B$15,集計!$G8,入力!F$6:F$15)/10000,0)))</f>
        <v>207</v>
      </c>
      <c r="I8" s="6">
        <f>IF(H8="","",IF(I$2&gt;$B$1,NA(),ROUND(SUMIF(入力!$B$6:$B$15,集計!$G8,入力!G$6:G$15)/10000,0)))</f>
        <v>204</v>
      </c>
      <c r="J8" s="6">
        <f>IF(I8="","",IF(J$2&gt;$B$1,NA(),ROUND(SUMIF(入力!$B$6:$B$15,集計!$G8,入力!H$6:H$15)/10000,0)))</f>
        <v>196</v>
      </c>
      <c r="K8" s="6">
        <f>IF(J8="","",IF(K$2&gt;$B$1,NA(),ROUND(SUMIF(入力!$B$6:$B$15,集計!$G8,入力!I$6:I$15)/10000,0)))</f>
        <v>188</v>
      </c>
      <c r="L8" s="6">
        <f>IF(K8="","",IF(L$2&gt;$B$1,NA(),ROUND(SUMIF(入力!$B$6:$B$15,集計!$G8,入力!J$6:J$15)/10000,0)))</f>
        <v>176</v>
      </c>
      <c r="M8" s="6">
        <f>IF(L8="","",IF(M$2&gt;$B$1,NA(),ROUND(SUMIF(入力!$B$6:$B$15,集計!$G8,入力!K$6:K$15)/10000,0)))</f>
        <v>156</v>
      </c>
      <c r="N8" s="6">
        <f>IF(M8="","",IF(N$2&gt;$B$1,NA(),ROUND(SUMIF(入力!$B$6:$B$15,集計!$G8,入力!L$6:L$15)/10000,0)))</f>
        <v>186</v>
      </c>
      <c r="O8" s="6" t="e">
        <f>IF(N8="","",IF(O$2&gt;$B$1,NA(),ROUND(SUMIF(入力!$B$6:$B$15,集計!$G8,入力!M$6:M$15)/10000,0)))</f>
        <v>#N/A</v>
      </c>
      <c r="P8" s="6" t="e">
        <f>IF(O8="","",IF(P$2&gt;$B$1,NA(),ROUND(SUMIF(入力!$B$6:$B$15,集計!$G8,入力!N$6:N$15)/10000,0)))</f>
        <v>#N/A</v>
      </c>
      <c r="Q8" s="6" t="e">
        <f>IF(P8="","",IF(Q$2&gt;$B$1,NA(),ROUND(SUMIF(入力!$B$6:$B$15,集計!$G8,入力!O$6:O$15)/10000,0)))</f>
        <v>#N/A</v>
      </c>
      <c r="R8" s="6" t="e">
        <f>IF(Q8="","",IF(R$2&gt;$B$1,NA(),ROUND(SUMIF(入力!$B$6:$B$15,集計!$G8,入力!P$6:P$15)/10000,0)))</f>
        <v>#N/A</v>
      </c>
      <c r="S8" s="6" t="e">
        <f>IF(R8="","",IF(S$2&gt;$B$1,NA(),ROUND(SUMIF(入力!$B$6:$B$15,集計!$G8,入力!Q$6:Q$15)/10000,0)))</f>
        <v>#N/A</v>
      </c>
      <c r="U8" s="102">
        <f>ROWS($G$8:$G$17)-ROWS($G$8:$G8)+1</f>
        <v>10</v>
      </c>
      <c r="V8" s="6" t="str" cm="1">
        <f t="array" ref="V8">INDEX($G$8:$G$17,$U8)</f>
        <v/>
      </c>
      <c r="W8" s="1" t="str" cm="1">
        <f t="array" ref="W8">IF($V8="", "",IF(INDEX(H$8:H$17, $U8)&lt;0,SUMIF(H$8:INDEX(H$8:H$17,$U8),"&lt;0"),SUMIF(H$8:INDEX(H$8:H$17,$U8),"&gt;=0")))</f>
        <v/>
      </c>
      <c r="X8" s="1" t="str" cm="1">
        <f t="array" ref="X8">IF($V8="", "",IF(INDEX(I$8:I$17, $U8)&lt;0,SUMIF(I$8:INDEX(I$8:I$17,$U8),"&lt;0"),SUMIF(I$8:INDEX(I$8:I$17,$U8),"&gt;=0")))</f>
        <v/>
      </c>
      <c r="Y8" s="1" t="str" cm="1">
        <f t="array" ref="Y8">IF($V8="", "",IF(INDEX(J$8:J$17, $U8)&lt;0,SUMIF(J$8:INDEX(J$8:J$17,$U8),"&lt;0"),SUMIF(J$8:INDEX(J$8:J$17,$U8),"&gt;=0")))</f>
        <v/>
      </c>
      <c r="Z8" s="1" t="str" cm="1">
        <f t="array" ref="Z8">IF($V8="", "",IF(INDEX(K$8:K$17, $U8)&lt;0,SUMIF(K$8:INDEX(K$8:K$17,$U8),"&lt;0"),SUMIF(K$8:INDEX(K$8:K$17,$U8),"&gt;=0")))</f>
        <v/>
      </c>
      <c r="AA8" s="1" t="str" cm="1">
        <f t="array" ref="AA8">IF($V8="", "",IF(INDEX(L$8:L$17, $U8)&lt;0,SUMIF(L$8:INDEX(L$8:L$17,$U8),"&lt;0"),SUMIF(L$8:INDEX(L$8:L$17,$U8),"&gt;=0")))</f>
        <v/>
      </c>
      <c r="AB8" s="1" t="str" cm="1">
        <f t="array" ref="AB8">IF($V8="", "",IF(INDEX(M$8:M$17, $U8)&lt;0,SUMIF(M$8:INDEX(M$8:M$17,$U8),"&lt;0"),SUMIF(M$8:INDEX(M$8:M$17,$U8),"&gt;=0")))</f>
        <v/>
      </c>
      <c r="AC8" s="1" t="str" cm="1">
        <f t="array" ref="AC8">IF($V8="", "",IF(INDEX(N$8:N$17, $U8)&lt;0,SUMIF(N$8:INDEX(N$8:N$17,$U8),"&lt;0"),SUMIF(N$8:INDEX(N$8:N$17,$U8),"&gt;=0")))</f>
        <v/>
      </c>
      <c r="AD8" s="1" t="str" cm="1">
        <f t="array" ref="AD8">IF($V8="", "",IF(INDEX(O$8:O$17, $U8)&lt;0,SUMIF(O$8:INDEX(O$8:O$17,$U8),"&lt;0"),SUMIF(O$8:INDEX(O$8:O$17,$U8),"&gt;=0")))</f>
        <v/>
      </c>
      <c r="AE8" s="1" t="str" cm="1">
        <f t="array" ref="AE8">IF($V8="", "",IF(INDEX(P$8:P$17, $U8)&lt;0,SUMIF(P$8:INDEX(P$8:P$17,$U8),"&lt;0"),SUMIF(P$8:INDEX(P$8:P$17,$U8),"&gt;=0")))</f>
        <v/>
      </c>
      <c r="AF8" s="1" t="str" cm="1">
        <f t="array" ref="AF8">IF($V8="", "",IF(INDEX(Q$8:Q$17, $U8)&lt;0,SUMIF(Q$8:INDEX(Q$8:Q$17,$U8),"&lt;0"),SUMIF(Q$8:INDEX(Q$8:Q$17,$U8),"&gt;=0")))</f>
        <v/>
      </c>
      <c r="AG8" s="1" t="str" cm="1">
        <f t="array" ref="AG8">IF($V8="", "",IF(INDEX(R$8:R$17, $U8)&lt;0,SUMIF(R$8:INDEX(R$8:R$17,$U8),"&lt;0"),SUMIF(R$8:INDEX(R$8:R$17,$U8),"&gt;=0")))</f>
        <v/>
      </c>
      <c r="AH8" s="1" t="str" cm="1">
        <f t="array" ref="AH8">IF($V8="", "",IF(INDEX(S$8:S$17, $U8)&lt;0,SUMIF(S$8:INDEX(S$8:S$17,$U8),"&lt;0"),SUMIF(S$8:INDEX(S$8:S$17,$U8),"&gt;=0")))</f>
        <v/>
      </c>
      <c r="AI8" s="6"/>
    </row>
    <row r="9" spans="1:35" x14ac:dyDescent="0.35">
      <c r="A9" s="3">
        <f t="shared" ref="A9:A17" si="0">SMALL($E$8:$E$17,ROW()-7)</f>
        <v>7</v>
      </c>
      <c r="B9" s="1" t="str" cm="1">
        <f t="array" ref="B9">IFERROR(INDEX(入力!$B:$B,A9),"")</f>
        <v>投資信託</v>
      </c>
      <c r="C9" s="1" t="str">
        <f t="shared" ref="C9:C17" si="1">IF(D9/$C$3&lt;0.05,"",B9)</f>
        <v>投資信託</v>
      </c>
      <c r="D9" s="6">
        <f>IF(SUMIFS(INDEX(入力!$F$6:$Q$15,0,集計!$B$1),入力!$B$6:$B$15,集計!$B9)&lt;0,0,SUMIFS(INDEX(入力!$F$6:$Q$15,0,集計!$B$1),入力!$B$6:$B$15,集計!$B9))</f>
        <v>2610334</v>
      </c>
      <c r="E9" s="3">
        <f>IF(COUNTIF(入力!$B$6:'入力'!B7,入力!B7)=1,ROW(入力!B7),"")</f>
        <v>7</v>
      </c>
      <c r="G9" s="1" t="str">
        <f t="shared" ref="G9:G17" si="2">B9</f>
        <v>投資信託</v>
      </c>
      <c r="H9" s="6">
        <f>IF(G9="","",IF(H$2&gt;$B$1,NA(),ROUND(SUMIF(入力!$B$6:$B$15,集計!$G9,入力!F$6:F$15)/10000,0)))</f>
        <v>206</v>
      </c>
      <c r="I9" s="6">
        <f>IF(H9="","",IF(I$2&gt;$B$1,NA(),ROUND(SUMIF(入力!$B$6:$B$15,集計!$G9,入力!G$6:G$15)/10000,0)))</f>
        <v>222</v>
      </c>
      <c r="J9" s="6">
        <f>IF(I9="","",IF(J$2&gt;$B$1,NA(),ROUND(SUMIF(入力!$B$6:$B$15,集計!$G9,入力!H$6:H$15)/10000,0)))</f>
        <v>233</v>
      </c>
      <c r="K9" s="6">
        <f>IF(J9="","",IF(K$2&gt;$B$1,NA(),ROUND(SUMIF(入力!$B$6:$B$15,集計!$G9,入力!I$6:I$15)/10000,0)))</f>
        <v>242</v>
      </c>
      <c r="L9" s="6">
        <f>IF(K9="","",IF(L$2&gt;$B$1,NA(),ROUND(SUMIF(入力!$B$6:$B$15,集計!$G9,入力!J$6:J$15)/10000,0)))</f>
        <v>256</v>
      </c>
      <c r="M9" s="6">
        <f>IF(L9="","",IF(M$2&gt;$B$1,NA(),ROUND(SUMIF(入力!$B$6:$B$15,集計!$G9,入力!K$6:K$15)/10000,0)))</f>
        <v>260</v>
      </c>
      <c r="N9" s="6">
        <f>IF(M9="","",IF(N$2&gt;$B$1,NA(),ROUND(SUMIF(入力!$B$6:$B$15,集計!$G9,入力!L$6:L$15)/10000,0)))</f>
        <v>261</v>
      </c>
      <c r="O9" s="6" t="e">
        <f>IF(N9="","",IF(O$2&gt;$B$1,NA(),ROUND(SUMIF(入力!$B$6:$B$15,集計!$G9,入力!M$6:M$15)/10000,0)))</f>
        <v>#N/A</v>
      </c>
      <c r="P9" s="6" t="e">
        <f>IF(O9="","",IF(P$2&gt;$B$1,NA(),ROUND(SUMIF(入力!$B$6:$B$15,集計!$G9,入力!N$6:N$15)/10000,0)))</f>
        <v>#N/A</v>
      </c>
      <c r="Q9" s="6" t="e">
        <f>IF(P9="","",IF(Q$2&gt;$B$1,NA(),ROUND(SUMIF(入力!$B$6:$B$15,集計!$G9,入力!O$6:O$15)/10000,0)))</f>
        <v>#N/A</v>
      </c>
      <c r="R9" s="6" t="e">
        <f>IF(Q9="","",IF(R$2&gt;$B$1,NA(),ROUND(SUMIF(入力!$B$6:$B$15,集計!$G9,入力!P$6:P$15)/10000,0)))</f>
        <v>#N/A</v>
      </c>
      <c r="S9" s="6" t="e">
        <f>IF(R9="","",IF(S$2&gt;$B$1,NA(),ROUND(SUMIF(入力!$B$6:$B$15,集計!$G9,入力!Q$6:Q$15)/10000,0)))</f>
        <v>#N/A</v>
      </c>
      <c r="U9" s="102">
        <f>ROWS($G$8:$G$17)-ROWS($G$8:$G9)+1</f>
        <v>9</v>
      </c>
      <c r="V9" s="6" t="str" cm="1">
        <f t="array" ref="V9">INDEX($G$8:$G$17,$U9)</f>
        <v/>
      </c>
      <c r="W9" s="1" t="str" cm="1">
        <f t="array" ref="W9">IF($V9="", "",IF(INDEX(H$8:H$17, $U9)&lt;0,SUMIF(H$8:INDEX(H$8:H$17,$U9),"&lt;0"),SUMIF(H$8:INDEX(H$8:H$17,$U9),"&gt;=0")))</f>
        <v/>
      </c>
      <c r="X9" s="1" t="str" cm="1">
        <f t="array" ref="X9">IF($V9="", "",IF(INDEX(I$8:I$17, $U9)&lt;0,SUMIF(I$8:INDEX(I$8:I$17,$U9),"&lt;0"),SUMIF(I$8:INDEX(I$8:I$17,$U9),"&gt;=0")))</f>
        <v/>
      </c>
      <c r="Y9" s="1" t="str" cm="1">
        <f t="array" ref="Y9">IF($V9="", "",IF(INDEX(J$8:J$17, $U9)&lt;0,SUMIF(J$8:INDEX(J$8:J$17,$U9),"&lt;0"),SUMIF(J$8:INDEX(J$8:J$17,$U9),"&gt;=0")))</f>
        <v/>
      </c>
      <c r="Z9" s="1" t="str" cm="1">
        <f t="array" ref="Z9">IF($V9="", "",IF(INDEX(K$8:K$17, $U9)&lt;0,SUMIF(K$8:INDEX(K$8:K$17,$U9),"&lt;0"),SUMIF(K$8:INDEX(K$8:K$17,$U9),"&gt;=0")))</f>
        <v/>
      </c>
      <c r="AA9" s="1" t="str" cm="1">
        <f t="array" ref="AA9">IF($V9="", "",IF(INDEX(L$8:L$17, $U9)&lt;0,SUMIF(L$8:INDEX(L$8:L$17,$U9),"&lt;0"),SUMIF(L$8:INDEX(L$8:L$17,$U9),"&gt;=0")))</f>
        <v/>
      </c>
      <c r="AB9" s="1" t="str" cm="1">
        <f t="array" ref="AB9">IF($V9="", "",IF(INDEX(M$8:M$17, $U9)&lt;0,SUMIF(M$8:INDEX(M$8:M$17,$U9),"&lt;0"),SUMIF(M$8:INDEX(M$8:M$17,$U9),"&gt;=0")))</f>
        <v/>
      </c>
      <c r="AC9" s="1" t="str" cm="1">
        <f t="array" ref="AC9">IF($V9="", "",IF(INDEX(N$8:N$17, $U9)&lt;0,SUMIF(N$8:INDEX(N$8:N$17,$U9),"&lt;0"),SUMIF(N$8:INDEX(N$8:N$17,$U9),"&gt;=0")))</f>
        <v/>
      </c>
      <c r="AD9" s="1" t="str" cm="1">
        <f t="array" ref="AD9">IF($V9="", "",IF(INDEX(O$8:O$17, $U9)&lt;0,SUMIF(O$8:INDEX(O$8:O$17,$U9),"&lt;0"),SUMIF(O$8:INDEX(O$8:O$17,$U9),"&gt;=0")))</f>
        <v/>
      </c>
      <c r="AE9" s="1" t="str" cm="1">
        <f t="array" ref="AE9">IF($V9="", "",IF(INDEX(P$8:P$17, $U9)&lt;0,SUMIF(P$8:INDEX(P$8:P$17,$U9),"&lt;0"),SUMIF(P$8:INDEX(P$8:P$17,$U9),"&gt;=0")))</f>
        <v/>
      </c>
      <c r="AF9" s="1" t="str" cm="1">
        <f t="array" ref="AF9">IF($V9="", "",IF(INDEX(Q$8:Q$17, $U9)&lt;0,SUMIF(Q$8:INDEX(Q$8:Q$17,$U9),"&lt;0"),SUMIF(Q$8:INDEX(Q$8:Q$17,$U9),"&gt;=0")))</f>
        <v/>
      </c>
      <c r="AG9" s="1" t="str" cm="1">
        <f t="array" ref="AG9">IF($V9="", "",IF(INDEX(R$8:R$17, $U9)&lt;0,SUMIF(R$8:INDEX(R$8:R$17,$U9),"&lt;0"),SUMIF(R$8:INDEX(R$8:R$17,$U9),"&gt;=0")))</f>
        <v/>
      </c>
      <c r="AH9" s="1" t="str" cm="1">
        <f t="array" ref="AH9">IF($V9="", "",IF(INDEX(S$8:S$17, $U9)&lt;0,SUMIF(S$8:INDEX(S$8:S$17,$U9),"&lt;0"),SUMIF(S$8:INDEX(S$8:S$17,$U9),"&gt;=0")))</f>
        <v/>
      </c>
      <c r="AI9" s="6"/>
    </row>
    <row r="10" spans="1:35" x14ac:dyDescent="0.35">
      <c r="A10" s="3">
        <f t="shared" si="0"/>
        <v>8</v>
      </c>
      <c r="B10" s="1" t="str" cm="1">
        <f t="array" ref="B10">IFERROR(INDEX(入力!$B:$B,A10),"")</f>
        <v>年金</v>
      </c>
      <c r="C10" s="1" t="str">
        <f t="shared" si="1"/>
        <v>年金</v>
      </c>
      <c r="D10" s="6">
        <f>IF(SUMIFS(INDEX(入力!$F$6:$Q$15,0,集計!$B$1),入力!$B$6:$B$15,集計!$B10)&lt;0,0,SUMIFS(INDEX(入力!$F$6:$Q$15,0,集計!$B$1),入力!$B$6:$B$15,集計!$B10))</f>
        <v>1274839</v>
      </c>
      <c r="E10" s="3">
        <f>IF(COUNTIF(入力!$B$6:'入力'!B8,入力!B8)=1,ROW(入力!B8),"")</f>
        <v>8</v>
      </c>
      <c r="G10" s="1" t="str">
        <f t="shared" si="2"/>
        <v>年金</v>
      </c>
      <c r="H10" s="6">
        <f>IF(G10="","",IF(H$2&gt;$B$1,NA(),ROUND(SUMIF(入力!$B$6:$B$15,集計!$G10,入力!F$6:F$15)/10000,0)))</f>
        <v>88</v>
      </c>
      <c r="I10" s="6">
        <f>IF(H10="","",IF(I$2&gt;$B$1,NA(),ROUND(SUMIF(入力!$B$6:$B$15,集計!$G10,入力!G$6:G$15)/10000,0)))</f>
        <v>91</v>
      </c>
      <c r="J10" s="6">
        <f>IF(I10="","",IF(J$2&gt;$B$1,NA(),ROUND(SUMIF(入力!$B$6:$B$15,集計!$G10,入力!H$6:H$15)/10000,0)))</f>
        <v>105</v>
      </c>
      <c r="K10" s="6">
        <f>IF(J10="","",IF(K$2&gt;$B$1,NA(),ROUND(SUMIF(入力!$B$6:$B$15,集計!$G10,入力!I$6:I$15)/10000,0)))</f>
        <v>108</v>
      </c>
      <c r="L10" s="6">
        <f>IF(K10="","",IF(L$2&gt;$B$1,NA(),ROUND(SUMIF(入力!$B$6:$B$15,集計!$G10,入力!J$6:J$15)/10000,0)))</f>
        <v>111</v>
      </c>
      <c r="M10" s="6">
        <f>IF(L10="","",IF(M$2&gt;$B$1,NA(),ROUND(SUMIF(入力!$B$6:$B$15,集計!$G10,入力!K$6:K$15)/10000,0)))</f>
        <v>114</v>
      </c>
      <c r="N10" s="6">
        <f>IF(M10="","",IF(N$2&gt;$B$1,NA(),ROUND(SUMIF(入力!$B$6:$B$15,集計!$G10,入力!L$6:L$15)/10000,0)))</f>
        <v>127</v>
      </c>
      <c r="O10" s="6" t="e">
        <f>IF(N10="","",IF(O$2&gt;$B$1,NA(),ROUND(SUMIF(入力!$B$6:$B$15,集計!$G10,入力!M$6:M$15)/10000,0)))</f>
        <v>#N/A</v>
      </c>
      <c r="P10" s="6" t="e">
        <f>IF(O10="","",IF(P$2&gt;$B$1,NA(),ROUND(SUMIF(入力!$B$6:$B$15,集計!$G10,入力!N$6:N$15)/10000,0)))</f>
        <v>#N/A</v>
      </c>
      <c r="Q10" s="6" t="e">
        <f>IF(P10="","",IF(Q$2&gt;$B$1,NA(),ROUND(SUMIF(入力!$B$6:$B$15,集計!$G10,入力!O$6:O$15)/10000,0)))</f>
        <v>#N/A</v>
      </c>
      <c r="R10" s="6" t="e">
        <f>IF(Q10="","",IF(R$2&gt;$B$1,NA(),ROUND(SUMIF(入力!$B$6:$B$15,集計!$G10,入力!P$6:P$15)/10000,0)))</f>
        <v>#N/A</v>
      </c>
      <c r="S10" s="6" t="e">
        <f>IF(R10="","",IF(S$2&gt;$B$1,NA(),ROUND(SUMIF(入力!$B$6:$B$15,集計!$G10,入力!Q$6:Q$15)/10000,0)))</f>
        <v>#N/A</v>
      </c>
      <c r="U10" s="102">
        <f>ROWS($G$8:$G$17)-ROWS($G$8:$G10)+1</f>
        <v>8</v>
      </c>
      <c r="V10" s="6" t="str" cm="1">
        <f t="array" ref="V10">INDEX($G$8:$G$17,$U10)</f>
        <v/>
      </c>
      <c r="W10" s="1" t="str" cm="1">
        <f t="array" ref="W10">IF($V10="", "",IF(INDEX(H$8:H$17, $U10)&lt;0,SUMIF(H$8:INDEX(H$8:H$17,$U10),"&lt;0"),SUMIF(H$8:INDEX(H$8:H$17,$U10),"&gt;=0")))</f>
        <v/>
      </c>
      <c r="X10" s="1" t="str" cm="1">
        <f t="array" ref="X10">IF($V10="", "",IF(INDEX(I$8:I$17, $U10)&lt;0,SUMIF(I$8:INDEX(I$8:I$17,$U10),"&lt;0"),SUMIF(I$8:INDEX(I$8:I$17,$U10),"&gt;=0")))</f>
        <v/>
      </c>
      <c r="Y10" s="1" t="str" cm="1">
        <f t="array" ref="Y10">IF($V10="", "",IF(INDEX(J$8:J$17, $U10)&lt;0,SUMIF(J$8:INDEX(J$8:J$17,$U10),"&lt;0"),SUMIF(J$8:INDEX(J$8:J$17,$U10),"&gt;=0")))</f>
        <v/>
      </c>
      <c r="Z10" s="1" t="str" cm="1">
        <f t="array" ref="Z10">IF($V10="", "",IF(INDEX(K$8:K$17, $U10)&lt;0,SUMIF(K$8:INDEX(K$8:K$17,$U10),"&lt;0"),SUMIF(K$8:INDEX(K$8:K$17,$U10),"&gt;=0")))</f>
        <v/>
      </c>
      <c r="AA10" s="1" t="str" cm="1">
        <f t="array" ref="AA10">IF($V10="", "",IF(INDEX(L$8:L$17, $U10)&lt;0,SUMIF(L$8:INDEX(L$8:L$17,$U10),"&lt;0"),SUMIF(L$8:INDEX(L$8:L$17,$U10),"&gt;=0")))</f>
        <v/>
      </c>
      <c r="AB10" s="1" t="str" cm="1">
        <f t="array" ref="AB10">IF($V10="", "",IF(INDEX(M$8:M$17, $U10)&lt;0,SUMIF(M$8:INDEX(M$8:M$17,$U10),"&lt;0"),SUMIF(M$8:INDEX(M$8:M$17,$U10),"&gt;=0")))</f>
        <v/>
      </c>
      <c r="AC10" s="1" t="str" cm="1">
        <f t="array" ref="AC10">IF($V10="", "",IF(INDEX(N$8:N$17, $U10)&lt;0,SUMIF(N$8:INDEX(N$8:N$17,$U10),"&lt;0"),SUMIF(N$8:INDEX(N$8:N$17,$U10),"&gt;=0")))</f>
        <v/>
      </c>
      <c r="AD10" s="1" t="str" cm="1">
        <f t="array" ref="AD10">IF($V10="", "",IF(INDEX(O$8:O$17, $U10)&lt;0,SUMIF(O$8:INDEX(O$8:O$17,$U10),"&lt;0"),SUMIF(O$8:INDEX(O$8:O$17,$U10),"&gt;=0")))</f>
        <v/>
      </c>
      <c r="AE10" s="1" t="str" cm="1">
        <f t="array" ref="AE10">IF($V10="", "",IF(INDEX(P$8:P$17, $U10)&lt;0,SUMIF(P$8:INDEX(P$8:P$17,$U10),"&lt;0"),SUMIF(P$8:INDEX(P$8:P$17,$U10),"&gt;=0")))</f>
        <v/>
      </c>
      <c r="AF10" s="1" t="str" cm="1">
        <f t="array" ref="AF10">IF($V10="", "",IF(INDEX(Q$8:Q$17, $U10)&lt;0,SUMIF(Q$8:INDEX(Q$8:Q$17,$U10),"&lt;0"),SUMIF(Q$8:INDEX(Q$8:Q$17,$U10),"&gt;=0")))</f>
        <v/>
      </c>
      <c r="AG10" s="1" t="str" cm="1">
        <f t="array" ref="AG10">IF($V10="", "",IF(INDEX(R$8:R$17, $U10)&lt;0,SUMIF(R$8:INDEX(R$8:R$17,$U10),"&lt;0"),SUMIF(R$8:INDEX(R$8:R$17,$U10),"&gt;=0")))</f>
        <v/>
      </c>
      <c r="AH10" s="1" t="str" cm="1">
        <f t="array" ref="AH10">IF($V10="", "",IF(INDEX(S$8:S$17, $U10)&lt;0,SUMIF(S$8:INDEX(S$8:S$17,$U10),"&lt;0"),SUMIF(S$8:INDEX(S$8:S$17,$U10),"&gt;=0")))</f>
        <v/>
      </c>
      <c r="AI10" s="6"/>
    </row>
    <row r="11" spans="1:35" x14ac:dyDescent="0.35">
      <c r="A11" s="3">
        <f t="shared" si="0"/>
        <v>9</v>
      </c>
      <c r="B11" s="1" t="str" cm="1">
        <f t="array" ref="B11">IFERROR(INDEX(入力!$B:$B,A11),"")</f>
        <v>株式</v>
      </c>
      <c r="C11" s="1" t="str">
        <f t="shared" si="1"/>
        <v>株式</v>
      </c>
      <c r="D11" s="6">
        <f>IF(SUMIFS(INDEX(入力!$F$6:$Q$15,0,集計!$B$1),入力!$B$6:$B$15,集計!$B11)&lt;0,0,SUMIFS(INDEX(入力!$F$6:$Q$15,0,集計!$B$1),入力!$B$6:$B$15,集計!$B11))</f>
        <v>1017933</v>
      </c>
      <c r="E11" s="3">
        <f>IF(COUNTIF(入力!$B$6:'入力'!B9,入力!B9)=1,ROW(入力!B9),"")</f>
        <v>9</v>
      </c>
      <c r="G11" s="1" t="str">
        <f t="shared" si="2"/>
        <v>株式</v>
      </c>
      <c r="H11" s="6">
        <f>IF(G11="","",IF(H$2&gt;$B$1,NA(),ROUND(SUMIF(入力!$B$6:$B$15,集計!$G11,入力!F$6:F$15)/10000,0)))</f>
        <v>11</v>
      </c>
      <c r="I11" s="6">
        <f>IF(H11="","",IF(I$2&gt;$B$1,NA(),ROUND(SUMIF(入力!$B$6:$B$15,集計!$G11,入力!G$6:G$15)/10000,0)))</f>
        <v>25</v>
      </c>
      <c r="J11" s="6">
        <f>IF(I11="","",IF(J$2&gt;$B$1,NA(),ROUND(SUMIF(入力!$B$6:$B$15,集計!$G11,入力!H$6:H$15)/10000,0)))</f>
        <v>41</v>
      </c>
      <c r="K11" s="6">
        <f>IF(J11="","",IF(K$2&gt;$B$1,NA(),ROUND(SUMIF(入力!$B$6:$B$15,集計!$G11,入力!I$6:I$15)/10000,0)))</f>
        <v>51</v>
      </c>
      <c r="L11" s="6">
        <f>IF(K11="","",IF(L$2&gt;$B$1,NA(),ROUND(SUMIF(入力!$B$6:$B$15,集計!$G11,入力!J$6:J$15)/10000,0)))</f>
        <v>70</v>
      </c>
      <c r="M11" s="6">
        <f>IF(L11="","",IF(M$2&gt;$B$1,NA(),ROUND(SUMIF(入力!$B$6:$B$15,集計!$G11,入力!K$6:K$15)/10000,0)))</f>
        <v>89</v>
      </c>
      <c r="N11" s="6">
        <f>IF(M11="","",IF(N$2&gt;$B$1,NA(),ROUND(SUMIF(入力!$B$6:$B$15,集計!$G11,入力!L$6:L$15)/10000,0)))</f>
        <v>102</v>
      </c>
      <c r="O11" s="6" t="e">
        <f>IF(N11="","",IF(O$2&gt;$B$1,NA(),ROUND(SUMIF(入力!$B$6:$B$15,集計!$G11,入力!M$6:M$15)/10000,0)))</f>
        <v>#N/A</v>
      </c>
      <c r="P11" s="6" t="e">
        <f>IF(O11="","",IF(P$2&gt;$B$1,NA(),ROUND(SUMIF(入力!$B$6:$B$15,集計!$G11,入力!N$6:N$15)/10000,0)))</f>
        <v>#N/A</v>
      </c>
      <c r="Q11" s="6" t="e">
        <f>IF(P11="","",IF(Q$2&gt;$B$1,NA(),ROUND(SUMIF(入力!$B$6:$B$15,集計!$G11,入力!O$6:O$15)/10000,0)))</f>
        <v>#N/A</v>
      </c>
      <c r="R11" s="6" t="e">
        <f>IF(Q11="","",IF(R$2&gt;$B$1,NA(),ROUND(SUMIF(入力!$B$6:$B$15,集計!$G11,入力!P$6:P$15)/10000,0)))</f>
        <v>#N/A</v>
      </c>
      <c r="S11" s="6" t="e">
        <f>IF(R11="","",IF(S$2&gt;$B$1,NA(),ROUND(SUMIF(入力!$B$6:$B$15,集計!$G11,入力!Q$6:Q$15)/10000,0)))</f>
        <v>#N/A</v>
      </c>
      <c r="U11" s="102">
        <f>ROWS($G$8:$G$17)-ROWS($G$8:$G11)+1</f>
        <v>7</v>
      </c>
      <c r="V11" s="6" t="str" cm="1">
        <f t="array" ref="V11">INDEX($G$8:$G$17,$U11)</f>
        <v/>
      </c>
      <c r="W11" s="1" t="str" cm="1">
        <f t="array" ref="W11">IF($V11="", "",IF(INDEX(H$8:H$17, $U11)&lt;0,SUMIF(H$8:INDEX(H$8:H$17,$U11),"&lt;0"),SUMIF(H$8:INDEX(H$8:H$17,$U11),"&gt;=0")))</f>
        <v/>
      </c>
      <c r="X11" s="1" t="str" cm="1">
        <f t="array" ref="X11">IF($V11="", "",IF(INDEX(I$8:I$17, $U11)&lt;0,SUMIF(I$8:INDEX(I$8:I$17,$U11),"&lt;0"),SUMIF(I$8:INDEX(I$8:I$17,$U11),"&gt;=0")))</f>
        <v/>
      </c>
      <c r="Y11" s="1" t="str" cm="1">
        <f t="array" ref="Y11">IF($V11="", "",IF(INDEX(J$8:J$17, $U11)&lt;0,SUMIF(J$8:INDEX(J$8:J$17,$U11),"&lt;0"),SUMIF(J$8:INDEX(J$8:J$17,$U11),"&gt;=0")))</f>
        <v/>
      </c>
      <c r="Z11" s="1" t="str" cm="1">
        <f t="array" ref="Z11">IF($V11="", "",IF(INDEX(K$8:K$17, $U11)&lt;0,SUMIF(K$8:INDEX(K$8:K$17,$U11),"&lt;0"),SUMIF(K$8:INDEX(K$8:K$17,$U11),"&gt;=0")))</f>
        <v/>
      </c>
      <c r="AA11" s="1" t="str" cm="1">
        <f t="array" ref="AA11">IF($V11="", "",IF(INDEX(L$8:L$17, $U11)&lt;0,SUMIF(L$8:INDEX(L$8:L$17,$U11),"&lt;0"),SUMIF(L$8:INDEX(L$8:L$17,$U11),"&gt;=0")))</f>
        <v/>
      </c>
      <c r="AB11" s="1" t="str" cm="1">
        <f t="array" ref="AB11">IF($V11="", "",IF(INDEX(M$8:M$17, $U11)&lt;0,SUMIF(M$8:INDEX(M$8:M$17,$U11),"&lt;0"),SUMIF(M$8:INDEX(M$8:M$17,$U11),"&gt;=0")))</f>
        <v/>
      </c>
      <c r="AC11" s="1" t="str" cm="1">
        <f t="array" ref="AC11">IF($V11="", "",IF(INDEX(N$8:N$17, $U11)&lt;0,SUMIF(N$8:INDEX(N$8:N$17,$U11),"&lt;0"),SUMIF(N$8:INDEX(N$8:N$17,$U11),"&gt;=0")))</f>
        <v/>
      </c>
      <c r="AD11" s="1" t="str" cm="1">
        <f t="array" ref="AD11">IF($V11="", "",IF(INDEX(O$8:O$17, $U11)&lt;0,SUMIF(O$8:INDEX(O$8:O$17,$U11),"&lt;0"),SUMIF(O$8:INDEX(O$8:O$17,$U11),"&gt;=0")))</f>
        <v/>
      </c>
      <c r="AE11" s="1" t="str" cm="1">
        <f t="array" ref="AE11">IF($V11="", "",IF(INDEX(P$8:P$17, $U11)&lt;0,SUMIF(P$8:INDEX(P$8:P$17,$U11),"&lt;0"),SUMIF(P$8:INDEX(P$8:P$17,$U11),"&gt;=0")))</f>
        <v/>
      </c>
      <c r="AF11" s="1" t="str" cm="1">
        <f t="array" ref="AF11">IF($V11="", "",IF(INDEX(Q$8:Q$17, $U11)&lt;0,SUMIF(Q$8:INDEX(Q$8:Q$17,$U11),"&lt;0"),SUMIF(Q$8:INDEX(Q$8:Q$17,$U11),"&gt;=0")))</f>
        <v/>
      </c>
      <c r="AG11" s="1" t="str" cm="1">
        <f t="array" ref="AG11">IF($V11="", "",IF(INDEX(R$8:R$17, $U11)&lt;0,SUMIF(R$8:INDEX(R$8:R$17,$U11),"&lt;0"),SUMIF(R$8:INDEX(R$8:R$17,$U11),"&gt;=0")))</f>
        <v/>
      </c>
      <c r="AH11" s="1" t="str" cm="1">
        <f t="array" ref="AH11">IF($V11="", "",IF(INDEX(S$8:S$17, $U11)&lt;0,SUMIF(S$8:INDEX(S$8:S$17,$U11),"&lt;0"),SUMIF(S$8:INDEX(S$8:S$17,$U11),"&gt;=0")))</f>
        <v/>
      </c>
      <c r="AI11" s="6"/>
    </row>
    <row r="12" spans="1:35" x14ac:dyDescent="0.35">
      <c r="A12" s="3">
        <f t="shared" si="0"/>
        <v>10</v>
      </c>
      <c r="B12" s="1" t="str" cm="1">
        <f t="array" ref="B12">IFERROR(INDEX(入力!$B:$B,A12),"")</f>
        <v>負債</v>
      </c>
      <c r="C12" s="1" t="str">
        <f t="shared" si="1"/>
        <v/>
      </c>
      <c r="D12" s="6">
        <f>IF(SUMIFS(INDEX(入力!$F$6:$Q$15,0,集計!$B$1),入力!$B$6:$B$15,集計!$B12)&lt;0,0,SUMIFS(INDEX(入力!$F$6:$Q$15,0,集計!$B$1),入力!$B$6:$B$15,集計!$B12))</f>
        <v>0</v>
      </c>
      <c r="E12" s="3">
        <f>IF(COUNTIF(入力!$B$6:'入力'!B10,入力!B10)=1,ROW(入力!B10),"")</f>
        <v>10</v>
      </c>
      <c r="G12" s="1" t="str">
        <f t="shared" si="2"/>
        <v>負債</v>
      </c>
      <c r="H12" s="6">
        <f>IF(G12="","",IF(H$2&gt;$B$1,NA(),ROUND(SUMIF(入力!$B$6:$B$15,集計!$G12,入力!F$6:F$15)/10000,0)))</f>
        <v>-138</v>
      </c>
      <c r="I12" s="6">
        <f>IF(H12="","",IF(I$2&gt;$B$1,NA(),ROUND(SUMIF(入力!$B$6:$B$15,集計!$G12,入力!G$6:G$15)/10000,0)))</f>
        <v>-136</v>
      </c>
      <c r="J12" s="6">
        <f>IF(I12="","",IF(J$2&gt;$B$1,NA(),ROUND(SUMIF(入力!$B$6:$B$15,集計!$G12,入力!H$6:H$15)/10000,0)))</f>
        <v>-135</v>
      </c>
      <c r="K12" s="6">
        <f>IF(J12="","",IF(K$2&gt;$B$1,NA(),ROUND(SUMIF(入力!$B$6:$B$15,集計!$G12,入力!I$6:I$15)/10000,0)))</f>
        <v>-134</v>
      </c>
      <c r="L12" s="6">
        <f>IF(K12="","",IF(L$2&gt;$B$1,NA(),ROUND(SUMIF(入力!$B$6:$B$15,集計!$G12,入力!J$6:J$15)/10000,0)))</f>
        <v>-132</v>
      </c>
      <c r="M12" s="6">
        <f>IF(L12="","",IF(M$2&gt;$B$1,NA(),ROUND(SUMIF(入力!$B$6:$B$15,集計!$G12,入力!K$6:K$15)/10000,0)))</f>
        <v>-130</v>
      </c>
      <c r="N12" s="6">
        <f>IF(M12="","",IF(N$2&gt;$B$1,NA(),ROUND(SUMIF(入力!$B$6:$B$15,集計!$G12,入力!L$6:L$15)/10000,0)))</f>
        <v>-128</v>
      </c>
      <c r="O12" s="6" t="e">
        <f>IF(N12="","",IF(O$2&gt;$B$1,NA(),ROUND(SUMIF(入力!$B$6:$B$15,集計!$G12,入力!M$6:M$15)/10000,0)))</f>
        <v>#N/A</v>
      </c>
      <c r="P12" s="6" t="e">
        <f>IF(O12="","",IF(P$2&gt;$B$1,NA(),ROUND(SUMIF(入力!$B$6:$B$15,集計!$G12,入力!N$6:N$15)/10000,0)))</f>
        <v>#N/A</v>
      </c>
      <c r="Q12" s="6" t="e">
        <f>IF(P12="","",IF(Q$2&gt;$B$1,NA(),ROUND(SUMIF(入力!$B$6:$B$15,集計!$G12,入力!O$6:O$15)/10000,0)))</f>
        <v>#N/A</v>
      </c>
      <c r="R12" s="6" t="e">
        <f>IF(Q12="","",IF(R$2&gt;$B$1,NA(),ROUND(SUMIF(入力!$B$6:$B$15,集計!$G12,入力!P$6:P$15)/10000,0)))</f>
        <v>#N/A</v>
      </c>
      <c r="S12" s="6" t="e">
        <f>IF(R12="","",IF(S$2&gt;$B$1,NA(),ROUND(SUMIF(入力!$B$6:$B$15,集計!$G12,入力!Q$6:Q$15)/10000,0)))</f>
        <v>#N/A</v>
      </c>
      <c r="U12" s="102">
        <f>ROWS($G$8:$G$17)-ROWS($G$8:$G12)+1</f>
        <v>6</v>
      </c>
      <c r="V12" s="6" t="str" cm="1">
        <f t="array" ref="V12">INDEX($G$8:$G$17,$U12)</f>
        <v/>
      </c>
      <c r="W12" s="1" t="str" cm="1">
        <f t="array" ref="W12">IF($V12="", "",IF(INDEX(H$8:H$17, $U12)&lt;0,SUMIF(H$8:INDEX(H$8:H$17,$U12),"&lt;0"),SUMIF(H$8:INDEX(H$8:H$17,$U12),"&gt;=0")))</f>
        <v/>
      </c>
      <c r="X12" s="1" t="str" cm="1">
        <f t="array" ref="X12">IF($V12="", "",IF(INDEX(I$8:I$17, $U12)&lt;0,SUMIF(I$8:INDEX(I$8:I$17,$U12),"&lt;0"),SUMIF(I$8:INDEX(I$8:I$17,$U12),"&gt;=0")))</f>
        <v/>
      </c>
      <c r="Y12" s="1" t="str" cm="1">
        <f t="array" ref="Y12">IF($V12="", "",IF(INDEX(J$8:J$17, $U12)&lt;0,SUMIF(J$8:INDEX(J$8:J$17,$U12),"&lt;0"),SUMIF(J$8:INDEX(J$8:J$17,$U12),"&gt;=0")))</f>
        <v/>
      </c>
      <c r="Z12" s="1" t="str" cm="1">
        <f t="array" ref="Z12">IF($V12="", "",IF(INDEX(K$8:K$17, $U12)&lt;0,SUMIF(K$8:INDEX(K$8:K$17,$U12),"&lt;0"),SUMIF(K$8:INDEX(K$8:K$17,$U12),"&gt;=0")))</f>
        <v/>
      </c>
      <c r="AA12" s="1" t="str" cm="1">
        <f t="array" ref="AA12">IF($V12="", "",IF(INDEX(L$8:L$17, $U12)&lt;0,SUMIF(L$8:INDEX(L$8:L$17,$U12),"&lt;0"),SUMIF(L$8:INDEX(L$8:L$17,$U12),"&gt;=0")))</f>
        <v/>
      </c>
      <c r="AB12" s="1" t="str" cm="1">
        <f t="array" ref="AB12">IF($V12="", "",IF(INDEX(M$8:M$17, $U12)&lt;0,SUMIF(M$8:INDEX(M$8:M$17,$U12),"&lt;0"),SUMIF(M$8:INDEX(M$8:M$17,$U12),"&gt;=0")))</f>
        <v/>
      </c>
      <c r="AC12" s="1" t="str" cm="1">
        <f t="array" ref="AC12">IF($V12="", "",IF(INDEX(N$8:N$17, $U12)&lt;0,SUMIF(N$8:INDEX(N$8:N$17,$U12),"&lt;0"),SUMIF(N$8:INDEX(N$8:N$17,$U12),"&gt;=0")))</f>
        <v/>
      </c>
      <c r="AD12" s="1" t="str" cm="1">
        <f t="array" ref="AD12">IF($V12="", "",IF(INDEX(O$8:O$17, $U12)&lt;0,SUMIF(O$8:INDEX(O$8:O$17,$U12),"&lt;0"),SUMIF(O$8:INDEX(O$8:O$17,$U12),"&gt;=0")))</f>
        <v/>
      </c>
      <c r="AE12" s="1" t="str" cm="1">
        <f t="array" ref="AE12">IF($V12="", "",IF(INDEX(P$8:P$17, $U12)&lt;0,SUMIF(P$8:INDEX(P$8:P$17,$U12),"&lt;0"),SUMIF(P$8:INDEX(P$8:P$17,$U12),"&gt;=0")))</f>
        <v/>
      </c>
      <c r="AF12" s="1" t="str" cm="1">
        <f t="array" ref="AF12">IF($V12="", "",IF(INDEX(Q$8:Q$17, $U12)&lt;0,SUMIF(Q$8:INDEX(Q$8:Q$17,$U12),"&lt;0"),SUMIF(Q$8:INDEX(Q$8:Q$17,$U12),"&gt;=0")))</f>
        <v/>
      </c>
      <c r="AG12" s="1" t="str" cm="1">
        <f t="array" ref="AG12">IF($V12="", "",IF(INDEX(R$8:R$17, $U12)&lt;0,SUMIF(R$8:INDEX(R$8:R$17,$U12),"&lt;0"),SUMIF(R$8:INDEX(R$8:R$17,$U12),"&gt;=0")))</f>
        <v/>
      </c>
      <c r="AH12" s="1" t="str" cm="1">
        <f t="array" ref="AH12">IF($V12="", "",IF(INDEX(S$8:S$17, $U12)&lt;0,SUMIF(S$8:INDEX(S$8:S$17,$U12),"&lt;0"),SUMIF(S$8:INDEX(S$8:S$17,$U12),"&gt;=0")))</f>
        <v/>
      </c>
      <c r="AI12" s="6"/>
    </row>
    <row r="13" spans="1:35" x14ac:dyDescent="0.35">
      <c r="A13" s="3" t="e">
        <f t="shared" si="0"/>
        <v>#NUM!</v>
      </c>
      <c r="B13" s="1" t="str" cm="1">
        <f t="array" ref="B13">IFERROR(INDEX(入力!$B:$B,A13),"")</f>
        <v/>
      </c>
      <c r="C13" s="1" t="str">
        <f t="shared" si="1"/>
        <v/>
      </c>
      <c r="D13" s="6">
        <f>IF(SUMIFS(INDEX(入力!$F$6:$Q$15,0,集計!$B$1),入力!$B$6:$B$15,集計!$B13)&lt;0,0,SUMIFS(INDEX(入力!$F$6:$Q$15,0,集計!$B$1),入力!$B$6:$B$15,集計!$B13))</f>
        <v>0</v>
      </c>
      <c r="E13" s="3" t="str">
        <f>IF(COUNTIF(入力!$B$6:'入力'!B11,入力!B11)=1,ROW(入力!B11),"")</f>
        <v/>
      </c>
      <c r="G13" s="1" t="str">
        <f t="shared" si="2"/>
        <v/>
      </c>
      <c r="H13" s="6" t="str">
        <f>IF(G13="","",IF(H$2&gt;$B$1,NA(),ROUND(SUMIF(入力!$B$6:$B$15,集計!$G13,入力!F$6:F$15)/10000,0)))</f>
        <v/>
      </c>
      <c r="I13" s="6" t="str">
        <f>IF(H13="","",IF(I$2&gt;$B$1,NA(),ROUND(SUMIF(入力!$B$6:$B$15,集計!$G13,入力!G$6:G$15)/10000,0)))</f>
        <v/>
      </c>
      <c r="J13" s="6" t="str">
        <f>IF(I13="","",IF(J$2&gt;$B$1,NA(),ROUND(SUMIF(入力!$B$6:$B$15,集計!$G13,入力!H$6:H$15)/10000,0)))</f>
        <v/>
      </c>
      <c r="K13" s="6" t="str">
        <f>IF(J13="","",IF(K$2&gt;$B$1,NA(),ROUND(SUMIF(入力!$B$6:$B$15,集計!$G13,入力!I$6:I$15)/10000,0)))</f>
        <v/>
      </c>
      <c r="L13" s="6" t="str">
        <f>IF(K13="","",IF(L$2&gt;$B$1,NA(),ROUND(SUMIF(入力!$B$6:$B$15,集計!$G13,入力!J$6:J$15)/10000,0)))</f>
        <v/>
      </c>
      <c r="M13" s="6" t="str">
        <f>IF(L13="","",IF(M$2&gt;$B$1,NA(),ROUND(SUMIF(入力!$B$6:$B$15,集計!$G13,入力!K$6:K$15)/10000,0)))</f>
        <v/>
      </c>
      <c r="N13" s="6" t="str">
        <f>IF(M13="","",IF(N$2&gt;$B$1,NA(),ROUND(SUMIF(入力!$B$6:$B$15,集計!$G13,入力!L$6:L$15)/10000,0)))</f>
        <v/>
      </c>
      <c r="O13" s="6" t="str">
        <f>IF(N13="","",IF(O$2&gt;$B$1,NA(),ROUND(SUMIF(入力!$B$6:$B$15,集計!$G13,入力!M$6:M$15)/10000,0)))</f>
        <v/>
      </c>
      <c r="P13" s="6" t="str">
        <f>IF(O13="","",IF(P$2&gt;$B$1,NA(),ROUND(SUMIF(入力!$B$6:$B$15,集計!$G13,入力!N$6:N$15)/10000,0)))</f>
        <v/>
      </c>
      <c r="Q13" s="6" t="str">
        <f>IF(P13="","",IF(Q$2&gt;$B$1,NA(),ROUND(SUMIF(入力!$B$6:$B$15,集計!$G13,入力!O$6:O$15)/10000,0)))</f>
        <v/>
      </c>
      <c r="R13" s="6" t="str">
        <f>IF(Q13="","",IF(R$2&gt;$B$1,NA(),ROUND(SUMIF(入力!$B$6:$B$15,集計!$G13,入力!P$6:P$15)/10000,0)))</f>
        <v/>
      </c>
      <c r="S13" s="6" t="str">
        <f>IF(R13="","",IF(S$2&gt;$B$1,NA(),ROUND(SUMIF(入力!$B$6:$B$15,集計!$G13,入力!Q$6:Q$15)/10000,0)))</f>
        <v/>
      </c>
      <c r="U13" s="102">
        <f>ROWS($G$8:$G$17)-ROWS($G$8:$G13)+1</f>
        <v>5</v>
      </c>
      <c r="V13" s="6" t="str" cm="1">
        <f t="array" ref="V13">INDEX($G$8:$G$17,$U13)</f>
        <v>負債</v>
      </c>
      <c r="W13" s="1" cm="1">
        <f t="array" ref="W13">IF($V13="", "",IF(INDEX(H$8:H$17, $U13)&lt;0,SUMIF(H$8:INDEX(H$8:H$17,$U13),"&lt;0"),SUMIF(H$8:INDEX(H$8:H$17,$U13),"&gt;=0")))</f>
        <v>-138</v>
      </c>
      <c r="X13" s="1" cm="1">
        <f t="array" ref="X13">IF($V13="", "",IF(INDEX(I$8:I$17, $U13)&lt;0,SUMIF(I$8:INDEX(I$8:I$17,$U13),"&lt;0"),SUMIF(I$8:INDEX(I$8:I$17,$U13),"&gt;=0")))</f>
        <v>-136</v>
      </c>
      <c r="Y13" s="1" cm="1">
        <f t="array" ref="Y13">IF($V13="", "",IF(INDEX(J$8:J$17, $U13)&lt;0,SUMIF(J$8:INDEX(J$8:J$17,$U13),"&lt;0"),SUMIF(J$8:INDEX(J$8:J$17,$U13),"&gt;=0")))</f>
        <v>-135</v>
      </c>
      <c r="Z13" s="1" cm="1">
        <f t="array" ref="Z13">IF($V13="", "",IF(INDEX(K$8:K$17, $U13)&lt;0,SUMIF(K$8:INDEX(K$8:K$17,$U13),"&lt;0"),SUMIF(K$8:INDEX(K$8:K$17,$U13),"&gt;=0")))</f>
        <v>-134</v>
      </c>
      <c r="AA13" s="1" cm="1">
        <f t="array" ref="AA13">IF($V13="", "",IF(INDEX(L$8:L$17, $U13)&lt;0,SUMIF(L$8:INDEX(L$8:L$17,$U13),"&lt;0"),SUMIF(L$8:INDEX(L$8:L$17,$U13),"&gt;=0")))</f>
        <v>-132</v>
      </c>
      <c r="AB13" s="1" cm="1">
        <f t="array" ref="AB13">IF($V13="", "",IF(INDEX(M$8:M$17, $U13)&lt;0,SUMIF(M$8:INDEX(M$8:M$17,$U13),"&lt;0"),SUMIF(M$8:INDEX(M$8:M$17,$U13),"&gt;=0")))</f>
        <v>-130</v>
      </c>
      <c r="AC13" s="1" cm="1">
        <f t="array" ref="AC13">IF($V13="", "",IF(INDEX(N$8:N$17, $U13)&lt;0,SUMIF(N$8:INDEX(N$8:N$17,$U13),"&lt;0"),SUMIF(N$8:INDEX(N$8:N$17,$U13),"&gt;=0")))</f>
        <v>-128</v>
      </c>
      <c r="AD13" s="1" t="e" cm="1">
        <f t="array" ref="AD13">IF($V13="", "",IF(INDEX(O$8:O$17, $U13)&lt;0,SUMIF(O$8:INDEX(O$8:O$17,$U13),"&lt;0"),SUMIF(O$8:INDEX(O$8:O$17,$U13),"&gt;=0")))</f>
        <v>#N/A</v>
      </c>
      <c r="AE13" s="1" t="e" cm="1">
        <f t="array" ref="AE13">IF($V13="", "",IF(INDEX(P$8:P$17, $U13)&lt;0,SUMIF(P$8:INDEX(P$8:P$17,$U13),"&lt;0"),SUMIF(P$8:INDEX(P$8:P$17,$U13),"&gt;=0")))</f>
        <v>#N/A</v>
      </c>
      <c r="AF13" s="1" t="e" cm="1">
        <f t="array" ref="AF13">IF($V13="", "",IF(INDEX(Q$8:Q$17, $U13)&lt;0,SUMIF(Q$8:INDEX(Q$8:Q$17,$U13),"&lt;0"),SUMIF(Q$8:INDEX(Q$8:Q$17,$U13),"&gt;=0")))</f>
        <v>#N/A</v>
      </c>
      <c r="AG13" s="1" t="e" cm="1">
        <f t="array" ref="AG13">IF($V13="", "",IF(INDEX(R$8:R$17, $U13)&lt;0,SUMIF(R$8:INDEX(R$8:R$17,$U13),"&lt;0"),SUMIF(R$8:INDEX(R$8:R$17,$U13),"&gt;=0")))</f>
        <v>#N/A</v>
      </c>
      <c r="AH13" s="1" t="e" cm="1">
        <f t="array" ref="AH13">IF($V13="", "",IF(INDEX(S$8:S$17, $U13)&lt;0,SUMIF(S$8:INDEX(S$8:S$17,$U13),"&lt;0"),SUMIF(S$8:INDEX(S$8:S$17,$U13),"&gt;=0")))</f>
        <v>#N/A</v>
      </c>
      <c r="AI13" s="6"/>
    </row>
    <row r="14" spans="1:35" x14ac:dyDescent="0.35">
      <c r="A14" s="3" t="e">
        <f t="shared" si="0"/>
        <v>#NUM!</v>
      </c>
      <c r="B14" s="1" t="str" cm="1">
        <f t="array" ref="B14">IFERROR(INDEX(入力!$B:$B,A14),"")</f>
        <v/>
      </c>
      <c r="C14" s="1" t="str">
        <f t="shared" si="1"/>
        <v/>
      </c>
      <c r="D14" s="6">
        <f>IF(SUMIFS(INDEX(入力!$F$6:$Q$15,0,集計!$B$1),入力!$B$6:$B$15,集計!$B14)&lt;0,0,SUMIFS(INDEX(入力!$F$6:$Q$15,0,集計!$B$1),入力!$B$6:$B$15,集計!$B14))</f>
        <v>0</v>
      </c>
      <c r="E14" s="3" t="str">
        <f>IF(COUNTIF(入力!$B$6:'入力'!B12,入力!B12)=1,ROW(入力!B12),"")</f>
        <v/>
      </c>
      <c r="G14" s="1" t="str">
        <f t="shared" si="2"/>
        <v/>
      </c>
      <c r="H14" s="6" t="str">
        <f>IF(G14="","",IF(H$2&gt;$B$1,NA(),ROUND(SUMIF(入力!$B$6:$B$15,集計!$G14,入力!F$6:F$15)/10000,0)))</f>
        <v/>
      </c>
      <c r="I14" s="6" t="str">
        <f>IF(H14="","",IF(I$2&gt;$B$1,NA(),ROUND(SUMIF(入力!$B$6:$B$15,集計!$G14,入力!G$6:G$15)/10000,0)))</f>
        <v/>
      </c>
      <c r="J14" s="6" t="str">
        <f>IF(I14="","",IF(J$2&gt;$B$1,NA(),ROUND(SUMIF(入力!$B$6:$B$15,集計!$G14,入力!H$6:H$15)/10000,0)))</f>
        <v/>
      </c>
      <c r="K14" s="6" t="str">
        <f>IF(J14="","",IF(K$2&gt;$B$1,NA(),ROUND(SUMIF(入力!$B$6:$B$15,集計!$G14,入力!I$6:I$15)/10000,0)))</f>
        <v/>
      </c>
      <c r="L14" s="6" t="str">
        <f>IF(K14="","",IF(L$2&gt;$B$1,NA(),ROUND(SUMIF(入力!$B$6:$B$15,集計!$G14,入力!J$6:J$15)/10000,0)))</f>
        <v/>
      </c>
      <c r="M14" s="6" t="str">
        <f>IF(L14="","",IF(M$2&gt;$B$1,NA(),ROUND(SUMIF(入力!$B$6:$B$15,集計!$G14,入力!K$6:K$15)/10000,0)))</f>
        <v/>
      </c>
      <c r="N14" s="6" t="str">
        <f>IF(M14="","",IF(N$2&gt;$B$1,NA(),ROUND(SUMIF(入力!$B$6:$B$15,集計!$G14,入力!L$6:L$15)/10000,0)))</f>
        <v/>
      </c>
      <c r="O14" s="6" t="str">
        <f>IF(N14="","",IF(O$2&gt;$B$1,NA(),ROUND(SUMIF(入力!$B$6:$B$15,集計!$G14,入力!M$6:M$15)/10000,0)))</f>
        <v/>
      </c>
      <c r="P14" s="6" t="str">
        <f>IF(O14="","",IF(P$2&gt;$B$1,NA(),ROUND(SUMIF(入力!$B$6:$B$15,集計!$G14,入力!N$6:N$15)/10000,0)))</f>
        <v/>
      </c>
      <c r="Q14" s="6" t="str">
        <f>IF(P14="","",IF(Q$2&gt;$B$1,NA(),ROUND(SUMIF(入力!$B$6:$B$15,集計!$G14,入力!O$6:O$15)/10000,0)))</f>
        <v/>
      </c>
      <c r="R14" s="6" t="str">
        <f>IF(Q14="","",IF(R$2&gt;$B$1,NA(),ROUND(SUMIF(入力!$B$6:$B$15,集計!$G14,入力!P$6:P$15)/10000,0)))</f>
        <v/>
      </c>
      <c r="S14" s="6" t="str">
        <f>IF(R14="","",IF(S$2&gt;$B$1,NA(),ROUND(SUMIF(入力!$B$6:$B$15,集計!$G14,入力!Q$6:Q$15)/10000,0)))</f>
        <v/>
      </c>
      <c r="U14" s="102">
        <f>ROWS($G$8:$G$17)-ROWS($G$8:$G14)+1</f>
        <v>4</v>
      </c>
      <c r="V14" s="6" t="str" cm="1">
        <f t="array" ref="V14">INDEX($G$8:$G$17,$U14)</f>
        <v>株式</v>
      </c>
      <c r="W14" s="1" cm="1">
        <f t="array" ref="W14">IF($V14="", "",IF(INDEX(H$8:H$17, $U14)&lt;0,SUMIF(H$8:INDEX(H$8:H$17,$U14),"&lt;0"),SUMIF(H$8:INDEX(H$8:H$17,$U14),"&gt;=0")))</f>
        <v>512</v>
      </c>
      <c r="X14" s="1" cm="1">
        <f t="array" ref="X14">IF($V14="", "",IF(INDEX(I$8:I$17, $U14)&lt;0,SUMIF(I$8:INDEX(I$8:I$17,$U14),"&lt;0"),SUMIF(I$8:INDEX(I$8:I$17,$U14),"&gt;=0")))</f>
        <v>542</v>
      </c>
      <c r="Y14" s="1" cm="1">
        <f t="array" ref="Y14">IF($V14="", "",IF(INDEX(J$8:J$17, $U14)&lt;0,SUMIF(J$8:INDEX(J$8:J$17,$U14),"&lt;0"),SUMIF(J$8:INDEX(J$8:J$17,$U14),"&gt;=0")))</f>
        <v>575</v>
      </c>
      <c r="Z14" s="1" cm="1">
        <f t="array" ref="Z14">IF($V14="", "",IF(INDEX(K$8:K$17, $U14)&lt;0,SUMIF(K$8:INDEX(K$8:K$17,$U14),"&lt;0"),SUMIF(K$8:INDEX(K$8:K$17,$U14),"&gt;=0")))</f>
        <v>589</v>
      </c>
      <c r="AA14" s="1" cm="1">
        <f t="array" ref="AA14">IF($V14="", "",IF(INDEX(L$8:L$17, $U14)&lt;0,SUMIF(L$8:INDEX(L$8:L$17,$U14),"&lt;0"),SUMIF(L$8:INDEX(L$8:L$17,$U14),"&gt;=0")))</f>
        <v>613</v>
      </c>
      <c r="AB14" s="1" cm="1">
        <f t="array" ref="AB14">IF($V14="", "",IF(INDEX(M$8:M$17, $U14)&lt;0,SUMIF(M$8:INDEX(M$8:M$17,$U14),"&lt;0"),SUMIF(M$8:INDEX(M$8:M$17,$U14),"&gt;=0")))</f>
        <v>619</v>
      </c>
      <c r="AC14" s="1" cm="1">
        <f t="array" ref="AC14">IF($V14="", "",IF(INDEX(N$8:N$17, $U14)&lt;0,SUMIF(N$8:INDEX(N$8:N$17,$U14),"&lt;0"),SUMIF(N$8:INDEX(N$8:N$17,$U14),"&gt;=0")))</f>
        <v>676</v>
      </c>
      <c r="AD14" s="1" t="e" cm="1">
        <f t="array" ref="AD14">IF($V14="", "",IF(INDEX(O$8:O$17, $U14)&lt;0,SUMIF(O$8:INDEX(O$8:O$17,$U14),"&lt;0"),SUMIF(O$8:INDEX(O$8:O$17,$U14),"&gt;=0")))</f>
        <v>#N/A</v>
      </c>
      <c r="AE14" s="1" t="e" cm="1">
        <f t="array" ref="AE14">IF($V14="", "",IF(INDEX(P$8:P$17, $U14)&lt;0,SUMIF(P$8:INDEX(P$8:P$17,$U14),"&lt;0"),SUMIF(P$8:INDEX(P$8:P$17,$U14),"&gt;=0")))</f>
        <v>#N/A</v>
      </c>
      <c r="AF14" s="1" t="e" cm="1">
        <f t="array" ref="AF14">IF($V14="", "",IF(INDEX(Q$8:Q$17, $U14)&lt;0,SUMIF(Q$8:INDEX(Q$8:Q$17,$U14),"&lt;0"),SUMIF(Q$8:INDEX(Q$8:Q$17,$U14),"&gt;=0")))</f>
        <v>#N/A</v>
      </c>
      <c r="AG14" s="1" t="e" cm="1">
        <f t="array" ref="AG14">IF($V14="", "",IF(INDEX(R$8:R$17, $U14)&lt;0,SUMIF(R$8:INDEX(R$8:R$17,$U14),"&lt;0"),SUMIF(R$8:INDEX(R$8:R$17,$U14),"&gt;=0")))</f>
        <v>#N/A</v>
      </c>
      <c r="AH14" s="1" t="e" cm="1">
        <f t="array" ref="AH14">IF($V14="", "",IF(INDEX(S$8:S$17, $U14)&lt;0,SUMIF(S$8:INDEX(S$8:S$17,$U14),"&lt;0"),SUMIF(S$8:INDEX(S$8:S$17,$U14),"&gt;=0")))</f>
        <v>#N/A</v>
      </c>
      <c r="AI14" s="6"/>
    </row>
    <row r="15" spans="1:35" x14ac:dyDescent="0.35">
      <c r="A15" s="3" t="e">
        <f t="shared" si="0"/>
        <v>#NUM!</v>
      </c>
      <c r="B15" s="1" t="str" cm="1">
        <f t="array" ref="B15">IFERROR(INDEX(入力!$B:$B,A15),"")</f>
        <v/>
      </c>
      <c r="C15" s="1" t="str">
        <f t="shared" si="1"/>
        <v/>
      </c>
      <c r="D15" s="6">
        <f>IF(SUMIFS(INDEX(入力!$F$6:$Q$15,0,集計!$B$1),入力!$B$6:$B$15,集計!$B15)&lt;0,0,SUMIFS(INDEX(入力!$F$6:$Q$15,0,集計!$B$1),入力!$B$6:$B$15,集計!$B15))</f>
        <v>0</v>
      </c>
      <c r="E15" s="3" t="str">
        <f>IF(COUNTIF(入力!$B$6:'入力'!B13,入力!B13)=1,ROW(入力!B13),"")</f>
        <v/>
      </c>
      <c r="G15" s="1" t="str">
        <f t="shared" si="2"/>
        <v/>
      </c>
      <c r="H15" s="6" t="str">
        <f>IF(G15="","",IF(H$2&gt;$B$1,NA(),ROUND(SUMIF(入力!$B$6:$B$15,集計!$G15,入力!F$6:F$15)/10000,0)))</f>
        <v/>
      </c>
      <c r="I15" s="6" t="str">
        <f>IF(H15="","",IF(I$2&gt;$B$1,NA(),ROUND(SUMIF(入力!$B$6:$B$15,集計!$G15,入力!G$6:G$15)/10000,0)))</f>
        <v/>
      </c>
      <c r="J15" s="6" t="str">
        <f>IF(I15="","",IF(J$2&gt;$B$1,NA(),ROUND(SUMIF(入力!$B$6:$B$15,集計!$G15,入力!H$6:H$15)/10000,0)))</f>
        <v/>
      </c>
      <c r="K15" s="6" t="str">
        <f>IF(J15="","",IF(K$2&gt;$B$1,NA(),ROUND(SUMIF(入力!$B$6:$B$15,集計!$G15,入力!I$6:I$15)/10000,0)))</f>
        <v/>
      </c>
      <c r="L15" s="6" t="str">
        <f>IF(K15="","",IF(L$2&gt;$B$1,NA(),ROUND(SUMIF(入力!$B$6:$B$15,集計!$G15,入力!J$6:J$15)/10000,0)))</f>
        <v/>
      </c>
      <c r="M15" s="6" t="str">
        <f>IF(L15="","",IF(M$2&gt;$B$1,NA(),ROUND(SUMIF(入力!$B$6:$B$15,集計!$G15,入力!K$6:K$15)/10000,0)))</f>
        <v/>
      </c>
      <c r="N15" s="6" t="str">
        <f>IF(M15="","",IF(N$2&gt;$B$1,NA(),ROUND(SUMIF(入力!$B$6:$B$15,集計!$G15,入力!L$6:L$15)/10000,0)))</f>
        <v/>
      </c>
      <c r="O15" s="6" t="str">
        <f>IF(N15="","",IF(O$2&gt;$B$1,NA(),ROUND(SUMIF(入力!$B$6:$B$15,集計!$G15,入力!M$6:M$15)/10000,0)))</f>
        <v/>
      </c>
      <c r="P15" s="6" t="str">
        <f>IF(O15="","",IF(P$2&gt;$B$1,NA(),ROUND(SUMIF(入力!$B$6:$B$15,集計!$G15,入力!N$6:N$15)/10000,0)))</f>
        <v/>
      </c>
      <c r="Q15" s="6" t="str">
        <f>IF(P15="","",IF(Q$2&gt;$B$1,NA(),ROUND(SUMIF(入力!$B$6:$B$15,集計!$G15,入力!O$6:O$15)/10000,0)))</f>
        <v/>
      </c>
      <c r="R15" s="6" t="str">
        <f>IF(Q15="","",IF(R$2&gt;$B$1,NA(),ROUND(SUMIF(入力!$B$6:$B$15,集計!$G15,入力!P$6:P$15)/10000,0)))</f>
        <v/>
      </c>
      <c r="S15" s="6" t="str">
        <f>IF(R15="","",IF(S$2&gt;$B$1,NA(),ROUND(SUMIF(入力!$B$6:$B$15,集計!$G15,入力!Q$6:Q$15)/10000,0)))</f>
        <v/>
      </c>
      <c r="U15" s="102">
        <f>ROWS($G$8:$G$17)-ROWS($G$8:$G15)+1</f>
        <v>3</v>
      </c>
      <c r="V15" s="6" t="str" cm="1">
        <f t="array" ref="V15">INDEX($G$8:$G$17,$U15)</f>
        <v>年金</v>
      </c>
      <c r="W15" s="1" cm="1">
        <f t="array" ref="W15">IF($V15="", "",IF(INDEX(H$8:H$17, $U15)&lt;0,SUMIF(H$8:INDEX(H$8:H$17,$U15),"&lt;0"),SUMIF(H$8:INDEX(H$8:H$17,$U15),"&gt;=0")))</f>
        <v>501</v>
      </c>
      <c r="X15" s="1" cm="1">
        <f t="array" ref="X15">IF($V15="", "",IF(INDEX(I$8:I$17, $U15)&lt;0,SUMIF(I$8:INDEX(I$8:I$17,$U15),"&lt;0"),SUMIF(I$8:INDEX(I$8:I$17,$U15),"&gt;=0")))</f>
        <v>517</v>
      </c>
      <c r="Y15" s="1" cm="1">
        <f t="array" ref="Y15">IF($V15="", "",IF(INDEX(J$8:J$17, $U15)&lt;0,SUMIF(J$8:INDEX(J$8:J$17,$U15),"&lt;0"),SUMIF(J$8:INDEX(J$8:J$17,$U15),"&gt;=0")))</f>
        <v>534</v>
      </c>
      <c r="Z15" s="1" cm="1">
        <f t="array" ref="Z15">IF($V15="", "",IF(INDEX(K$8:K$17, $U15)&lt;0,SUMIF(K$8:INDEX(K$8:K$17,$U15),"&lt;0"),SUMIF(K$8:INDEX(K$8:K$17,$U15),"&gt;=0")))</f>
        <v>538</v>
      </c>
      <c r="AA15" s="1" cm="1">
        <f t="array" ref="AA15">IF($V15="", "",IF(INDEX(L$8:L$17, $U15)&lt;0,SUMIF(L$8:INDEX(L$8:L$17,$U15),"&lt;0"),SUMIF(L$8:INDEX(L$8:L$17,$U15),"&gt;=0")))</f>
        <v>543</v>
      </c>
      <c r="AB15" s="1" cm="1">
        <f t="array" ref="AB15">IF($V15="", "",IF(INDEX(M$8:M$17, $U15)&lt;0,SUMIF(M$8:INDEX(M$8:M$17,$U15),"&lt;0"),SUMIF(M$8:INDEX(M$8:M$17,$U15),"&gt;=0")))</f>
        <v>530</v>
      </c>
      <c r="AC15" s="1" cm="1">
        <f t="array" ref="AC15">IF($V15="", "",IF(INDEX(N$8:N$17, $U15)&lt;0,SUMIF(N$8:INDEX(N$8:N$17,$U15),"&lt;0"),SUMIF(N$8:INDEX(N$8:N$17,$U15),"&gt;=0")))</f>
        <v>574</v>
      </c>
      <c r="AD15" s="1" t="e" cm="1">
        <f t="array" ref="AD15">IF($V15="", "",IF(INDEX(O$8:O$17, $U15)&lt;0,SUMIF(O$8:INDEX(O$8:O$17,$U15),"&lt;0"),SUMIF(O$8:INDEX(O$8:O$17,$U15),"&gt;=0")))</f>
        <v>#N/A</v>
      </c>
      <c r="AE15" s="1" t="e" cm="1">
        <f t="array" ref="AE15">IF($V15="", "",IF(INDEX(P$8:P$17, $U15)&lt;0,SUMIF(P$8:INDEX(P$8:P$17,$U15),"&lt;0"),SUMIF(P$8:INDEX(P$8:P$17,$U15),"&gt;=0")))</f>
        <v>#N/A</v>
      </c>
      <c r="AF15" s="1" t="e" cm="1">
        <f t="array" ref="AF15">IF($V15="", "",IF(INDEX(Q$8:Q$17, $U15)&lt;0,SUMIF(Q$8:INDEX(Q$8:Q$17,$U15),"&lt;0"),SUMIF(Q$8:INDEX(Q$8:Q$17,$U15),"&gt;=0")))</f>
        <v>#N/A</v>
      </c>
      <c r="AG15" s="1" t="e" cm="1">
        <f t="array" ref="AG15">IF($V15="", "",IF(INDEX(R$8:R$17, $U15)&lt;0,SUMIF(R$8:INDEX(R$8:R$17,$U15),"&lt;0"),SUMIF(R$8:INDEX(R$8:R$17,$U15),"&gt;=0")))</f>
        <v>#N/A</v>
      </c>
      <c r="AH15" s="1" t="e" cm="1">
        <f t="array" ref="AH15">IF($V15="", "",IF(INDEX(S$8:S$17, $U15)&lt;0,SUMIF(S$8:INDEX(S$8:S$17,$U15),"&lt;0"),SUMIF(S$8:INDEX(S$8:S$17,$U15),"&gt;=0")))</f>
        <v>#N/A</v>
      </c>
      <c r="AI15" s="6"/>
    </row>
    <row r="16" spans="1:35" x14ac:dyDescent="0.35">
      <c r="A16" s="3" t="e">
        <f t="shared" si="0"/>
        <v>#NUM!</v>
      </c>
      <c r="B16" s="1" t="str" cm="1">
        <f t="array" ref="B16">IFERROR(INDEX(入力!$B:$B,A16),"")</f>
        <v/>
      </c>
      <c r="C16" s="1" t="str">
        <f t="shared" si="1"/>
        <v/>
      </c>
      <c r="D16" s="6">
        <f>IF(SUMIFS(INDEX(入力!$F$6:$Q$15,0,集計!$B$1),入力!$B$6:$B$15,集計!$B16)&lt;0,0,SUMIFS(INDEX(入力!$F$6:$Q$15,0,集計!$B$1),入力!$B$6:$B$15,集計!$B16))</f>
        <v>0</v>
      </c>
      <c r="E16" s="3" t="str">
        <f>IF(COUNTIF(入力!$B$6:'入力'!B14,入力!B14)=1,ROW(入力!B14),"")</f>
        <v/>
      </c>
      <c r="G16" s="1" t="str">
        <f t="shared" si="2"/>
        <v/>
      </c>
      <c r="H16" s="6" t="str">
        <f>IF(G16="","",IF(H$2&gt;$B$1,NA(),ROUND(SUMIF(入力!$B$6:$B$15,集計!$G16,入力!F$6:F$15)/10000,0)))</f>
        <v/>
      </c>
      <c r="I16" s="6" t="str">
        <f>IF(H16="","",IF(I$2&gt;$B$1,NA(),ROUND(SUMIF(入力!$B$6:$B$15,集計!$G16,入力!G$6:G$15)/10000,0)))</f>
        <v/>
      </c>
      <c r="J16" s="6" t="str">
        <f>IF(I16="","",IF(J$2&gt;$B$1,NA(),ROUND(SUMIF(入力!$B$6:$B$15,集計!$G16,入力!H$6:H$15)/10000,0)))</f>
        <v/>
      </c>
      <c r="K16" s="6" t="str">
        <f>IF(J16="","",IF(K$2&gt;$B$1,NA(),ROUND(SUMIF(入力!$B$6:$B$15,集計!$G16,入力!I$6:I$15)/10000,0)))</f>
        <v/>
      </c>
      <c r="L16" s="6" t="str">
        <f>IF(K16="","",IF(L$2&gt;$B$1,NA(),ROUND(SUMIF(入力!$B$6:$B$15,集計!$G16,入力!J$6:J$15)/10000,0)))</f>
        <v/>
      </c>
      <c r="M16" s="6" t="str">
        <f>IF(L16="","",IF(M$2&gt;$B$1,NA(),ROUND(SUMIF(入力!$B$6:$B$15,集計!$G16,入力!K$6:K$15)/10000,0)))</f>
        <v/>
      </c>
      <c r="N16" s="6" t="str">
        <f>IF(M16="","",IF(N$2&gt;$B$1,NA(),ROUND(SUMIF(入力!$B$6:$B$15,集計!$G16,入力!L$6:L$15)/10000,0)))</f>
        <v/>
      </c>
      <c r="O16" s="6" t="str">
        <f>IF(N16="","",IF(O$2&gt;$B$1,NA(),ROUND(SUMIF(入力!$B$6:$B$15,集計!$G16,入力!M$6:M$15)/10000,0)))</f>
        <v/>
      </c>
      <c r="P16" s="6" t="str">
        <f>IF(O16="","",IF(P$2&gt;$B$1,NA(),ROUND(SUMIF(入力!$B$6:$B$15,集計!$G16,入力!N$6:N$15)/10000,0)))</f>
        <v/>
      </c>
      <c r="Q16" s="6" t="str">
        <f>IF(P16="","",IF(Q$2&gt;$B$1,NA(),ROUND(SUMIF(入力!$B$6:$B$15,集計!$G16,入力!O$6:O$15)/10000,0)))</f>
        <v/>
      </c>
      <c r="R16" s="6" t="str">
        <f>IF(Q16="","",IF(R$2&gt;$B$1,NA(),ROUND(SUMIF(入力!$B$6:$B$15,集計!$G16,入力!P$6:P$15)/10000,0)))</f>
        <v/>
      </c>
      <c r="S16" s="6" t="str">
        <f>IF(R16="","",IF(S$2&gt;$B$1,NA(),ROUND(SUMIF(入力!$B$6:$B$15,集計!$G16,入力!Q$6:Q$15)/10000,0)))</f>
        <v/>
      </c>
      <c r="U16" s="102">
        <f>ROWS($G$8:$G$17)-ROWS($G$8:$G16)+1</f>
        <v>2</v>
      </c>
      <c r="V16" s="6" t="str" cm="1">
        <f t="array" ref="V16">INDEX($G$8:$G$17,$U16)</f>
        <v>投資信託</v>
      </c>
      <c r="W16" s="1" cm="1">
        <f t="array" ref="W16">IF($V16="", "",IF(INDEX(H$8:H$17, $U16)&lt;0,SUMIF(H$8:INDEX(H$8:H$17,$U16),"&lt;0"),SUMIF(H$8:INDEX(H$8:H$17,$U16),"&gt;=0")))</f>
        <v>413</v>
      </c>
      <c r="X16" s="1" cm="1">
        <f t="array" ref="X16">IF($V16="", "",IF(INDEX(I$8:I$17, $U16)&lt;0,SUMIF(I$8:INDEX(I$8:I$17,$U16),"&lt;0"),SUMIF(I$8:INDEX(I$8:I$17,$U16),"&gt;=0")))</f>
        <v>426</v>
      </c>
      <c r="Y16" s="1" cm="1">
        <f t="array" ref="Y16">IF($V16="", "",IF(INDEX(J$8:J$17, $U16)&lt;0,SUMIF(J$8:INDEX(J$8:J$17,$U16),"&lt;0"),SUMIF(J$8:INDEX(J$8:J$17,$U16),"&gt;=0")))</f>
        <v>429</v>
      </c>
      <c r="Z16" s="1" cm="1">
        <f t="array" ref="Z16">IF($V16="", "",IF(INDEX(K$8:K$17, $U16)&lt;0,SUMIF(K$8:INDEX(K$8:K$17,$U16),"&lt;0"),SUMIF(K$8:INDEX(K$8:K$17,$U16),"&gt;=0")))</f>
        <v>430</v>
      </c>
      <c r="AA16" s="1" cm="1">
        <f t="array" ref="AA16">IF($V16="", "",IF(INDEX(L$8:L$17, $U16)&lt;0,SUMIF(L$8:INDEX(L$8:L$17,$U16),"&lt;0"),SUMIF(L$8:INDEX(L$8:L$17,$U16),"&gt;=0")))</f>
        <v>432</v>
      </c>
      <c r="AB16" s="1" cm="1">
        <f t="array" ref="AB16">IF($V16="", "",IF(INDEX(M$8:M$17, $U16)&lt;0,SUMIF(M$8:INDEX(M$8:M$17,$U16),"&lt;0"),SUMIF(M$8:INDEX(M$8:M$17,$U16),"&gt;=0")))</f>
        <v>416</v>
      </c>
      <c r="AC16" s="1" cm="1">
        <f t="array" ref="AC16">IF($V16="", "",IF(INDEX(N$8:N$17, $U16)&lt;0,SUMIF(N$8:INDEX(N$8:N$17,$U16),"&lt;0"),SUMIF(N$8:INDEX(N$8:N$17,$U16),"&gt;=0")))</f>
        <v>447</v>
      </c>
      <c r="AD16" s="1" t="e" cm="1">
        <f t="array" ref="AD16">IF($V16="", "",IF(INDEX(O$8:O$17, $U16)&lt;0,SUMIF(O$8:INDEX(O$8:O$17,$U16),"&lt;0"),SUMIF(O$8:INDEX(O$8:O$17,$U16),"&gt;=0")))</f>
        <v>#N/A</v>
      </c>
      <c r="AE16" s="1" t="e" cm="1">
        <f t="array" ref="AE16">IF($V16="", "",IF(INDEX(P$8:P$17, $U16)&lt;0,SUMIF(P$8:INDEX(P$8:P$17,$U16),"&lt;0"),SUMIF(P$8:INDEX(P$8:P$17,$U16),"&gt;=0")))</f>
        <v>#N/A</v>
      </c>
      <c r="AF16" s="1" t="e" cm="1">
        <f t="array" ref="AF16">IF($V16="", "",IF(INDEX(Q$8:Q$17, $U16)&lt;0,SUMIF(Q$8:INDEX(Q$8:Q$17,$U16),"&lt;0"),SUMIF(Q$8:INDEX(Q$8:Q$17,$U16),"&gt;=0")))</f>
        <v>#N/A</v>
      </c>
      <c r="AG16" s="1" t="e" cm="1">
        <f t="array" ref="AG16">IF($V16="", "",IF(INDEX(R$8:R$17, $U16)&lt;0,SUMIF(R$8:INDEX(R$8:R$17,$U16),"&lt;0"),SUMIF(R$8:INDEX(R$8:R$17,$U16),"&gt;=0")))</f>
        <v>#N/A</v>
      </c>
      <c r="AH16" s="1" t="e" cm="1">
        <f t="array" ref="AH16">IF($V16="", "",IF(INDEX(S$8:S$17, $U16)&lt;0,SUMIF(S$8:INDEX(S$8:S$17,$U16),"&lt;0"),SUMIF(S$8:INDEX(S$8:S$17,$U16),"&gt;=0")))</f>
        <v>#N/A</v>
      </c>
      <c r="AI16" s="6"/>
    </row>
    <row r="17" spans="1:35" x14ac:dyDescent="0.35">
      <c r="A17" s="3" t="e">
        <f t="shared" si="0"/>
        <v>#NUM!</v>
      </c>
      <c r="B17" s="1" t="str" cm="1">
        <f t="array" ref="B17">IFERROR(INDEX(入力!$B:$B,A17),"")</f>
        <v/>
      </c>
      <c r="C17" s="1" t="str">
        <f t="shared" si="1"/>
        <v/>
      </c>
      <c r="D17" s="6">
        <f>IF(SUMIFS(INDEX(入力!$F$6:$Q$15,0,集計!$B$1),入力!$B$6:$B$15,集計!$B17)&lt;0,0,SUMIFS(INDEX(入力!$F$6:$Q$15,0,集計!$B$1),入力!$B$6:$B$15,集計!$B17))</f>
        <v>0</v>
      </c>
      <c r="E17" s="3" t="str">
        <f>IF(COUNTIF(入力!$B$6:'入力'!B15,入力!B15)=1,ROW(入力!B15),"")</f>
        <v/>
      </c>
      <c r="G17" s="1" t="str">
        <f t="shared" si="2"/>
        <v/>
      </c>
      <c r="H17" s="6" t="str">
        <f>IF(G17="","",IF(H$2&gt;$B$1,NA(),ROUND(SUMIF(入力!$B$6:$B$15,集計!$G17,入力!F$6:F$15)/10000,0)))</f>
        <v/>
      </c>
      <c r="I17" s="6" t="str">
        <f>IF(H17="","",IF(I$2&gt;$B$1,NA(),ROUND(SUMIF(入力!$B$6:$B$15,集計!$G17,入力!G$6:G$15)/10000,0)))</f>
        <v/>
      </c>
      <c r="J17" s="6" t="str">
        <f>IF(I17="","",IF(J$2&gt;$B$1,NA(),ROUND(SUMIF(入力!$B$6:$B$15,集計!$G17,入力!H$6:H$15)/10000,0)))</f>
        <v/>
      </c>
      <c r="K17" s="6" t="str">
        <f>IF(J17="","",IF(K$2&gt;$B$1,NA(),ROUND(SUMIF(入力!$B$6:$B$15,集計!$G17,入力!I$6:I$15)/10000,0)))</f>
        <v/>
      </c>
      <c r="L17" s="6" t="str">
        <f>IF(K17="","",IF(L$2&gt;$B$1,NA(),ROUND(SUMIF(入力!$B$6:$B$15,集計!$G17,入力!J$6:J$15)/10000,0)))</f>
        <v/>
      </c>
      <c r="M17" s="6" t="str">
        <f>IF(L17="","",IF(M$2&gt;$B$1,NA(),ROUND(SUMIF(入力!$B$6:$B$15,集計!$G17,入力!K$6:K$15)/10000,0)))</f>
        <v/>
      </c>
      <c r="N17" s="6" t="str">
        <f>IF(M17="","",IF(N$2&gt;$B$1,NA(),ROUND(SUMIF(入力!$B$6:$B$15,集計!$G17,入力!L$6:L$15)/10000,0)))</f>
        <v/>
      </c>
      <c r="O17" s="6" t="str">
        <f>IF(N17="","",IF(O$2&gt;$B$1,NA(),ROUND(SUMIF(入力!$B$6:$B$15,集計!$G17,入力!M$6:M$15)/10000,0)))</f>
        <v/>
      </c>
      <c r="P17" s="6" t="str">
        <f>IF(O17="","",IF(P$2&gt;$B$1,NA(),ROUND(SUMIF(入力!$B$6:$B$15,集計!$G17,入力!N$6:N$15)/10000,0)))</f>
        <v/>
      </c>
      <c r="Q17" s="6" t="str">
        <f>IF(P17="","",IF(Q$2&gt;$B$1,NA(),ROUND(SUMIF(入力!$B$6:$B$15,集計!$G17,入力!O$6:O$15)/10000,0)))</f>
        <v/>
      </c>
      <c r="R17" s="6" t="str">
        <f>IF(Q17="","",IF(R$2&gt;$B$1,NA(),ROUND(SUMIF(入力!$B$6:$B$15,集計!$G17,入力!P$6:P$15)/10000,0)))</f>
        <v/>
      </c>
      <c r="S17" s="6" t="str">
        <f>IF(R17="","",IF(S$2&gt;$B$1,NA(),ROUND(SUMIF(入力!$B$6:$B$15,集計!$G17,入力!Q$6:Q$15)/10000,0)))</f>
        <v/>
      </c>
      <c r="U17" s="102">
        <f>ROWS($G$8:$G$17)-ROWS($G$8:$G17)+1</f>
        <v>1</v>
      </c>
      <c r="V17" s="6" t="str" cm="1">
        <f t="array" ref="V17">INDEX($G$8:$G$17,$U17)</f>
        <v>現預金</v>
      </c>
      <c r="W17" s="1" cm="1">
        <f t="array" ref="W17">IF($V17="", "",IF(INDEX(H$8:H$17, $U17)&lt;0,SUMIF(H$8:INDEX(H$8:H$17,$U17),"&lt;0"),SUMIF(H$8:INDEX(H$8:H$17,$U17),"&gt;=0")))</f>
        <v>207</v>
      </c>
      <c r="X17" s="1" cm="1">
        <f t="array" ref="X17">IF($V17="", "",IF(INDEX(I$8:I$17, $U17)&lt;0,SUMIF(I$8:INDEX(I$8:I$17,$U17),"&lt;0"),SUMIF(I$8:INDEX(I$8:I$17,$U17),"&gt;=0")))</f>
        <v>204</v>
      </c>
      <c r="Y17" s="1" cm="1">
        <f t="array" ref="Y17">IF($V17="", "",IF(INDEX(J$8:J$17, $U17)&lt;0,SUMIF(J$8:INDEX(J$8:J$17,$U17),"&lt;0"),SUMIF(J$8:INDEX(J$8:J$17,$U17),"&gt;=0")))</f>
        <v>196</v>
      </c>
      <c r="Z17" s="1" cm="1">
        <f t="array" ref="Z17">IF($V17="", "",IF(INDEX(K$8:K$17, $U17)&lt;0,SUMIF(K$8:INDEX(K$8:K$17,$U17),"&lt;0"),SUMIF(K$8:INDEX(K$8:K$17,$U17),"&gt;=0")))</f>
        <v>188</v>
      </c>
      <c r="AA17" s="1" cm="1">
        <f t="array" ref="AA17">IF($V17="", "",IF(INDEX(L$8:L$17, $U17)&lt;0,SUMIF(L$8:INDEX(L$8:L$17,$U17),"&lt;0"),SUMIF(L$8:INDEX(L$8:L$17,$U17),"&gt;=0")))</f>
        <v>176</v>
      </c>
      <c r="AB17" s="1" cm="1">
        <f t="array" ref="AB17">IF($V17="", "",IF(INDEX(M$8:M$17, $U17)&lt;0,SUMIF(M$8:INDEX(M$8:M$17,$U17),"&lt;0"),SUMIF(M$8:INDEX(M$8:M$17,$U17),"&gt;=0")))</f>
        <v>156</v>
      </c>
      <c r="AC17" s="1" cm="1">
        <f t="array" ref="AC17">IF($V17="", "",IF(INDEX(N$8:N$17, $U17)&lt;0,SUMIF(N$8:INDEX(N$8:N$17,$U17),"&lt;0"),SUMIF(N$8:INDEX(N$8:N$17,$U17),"&gt;=0")))</f>
        <v>186</v>
      </c>
      <c r="AD17" s="1" t="e" cm="1">
        <f t="array" ref="AD17">IF($V17="", "",IF(INDEX(O$8:O$17, $U17)&lt;0,SUMIF(O$8:INDEX(O$8:O$17,$U17),"&lt;0"),SUMIF(O$8:INDEX(O$8:O$17,$U17),"&gt;=0")))</f>
        <v>#N/A</v>
      </c>
      <c r="AE17" s="1" t="e" cm="1">
        <f t="array" ref="AE17">IF($V17="", "",IF(INDEX(P$8:P$17, $U17)&lt;0,SUMIF(P$8:INDEX(P$8:P$17,$U17),"&lt;0"),SUMIF(P$8:INDEX(P$8:P$17,$U17),"&gt;=0")))</f>
        <v>#N/A</v>
      </c>
      <c r="AF17" s="1" t="e" cm="1">
        <f t="array" ref="AF17">IF($V17="", "",IF(INDEX(Q$8:Q$17, $U17)&lt;0,SUMIF(Q$8:INDEX(Q$8:Q$17,$U17),"&lt;0"),SUMIF(Q$8:INDEX(Q$8:Q$17,$U17),"&gt;=0")))</f>
        <v>#N/A</v>
      </c>
      <c r="AG17" s="1" t="e" cm="1">
        <f t="array" ref="AG17">IF($V17="", "",IF(INDEX(R$8:R$17, $U17)&lt;0,SUMIF(R$8:INDEX(R$8:R$17,$U17),"&lt;0"),SUMIF(R$8:INDEX(R$8:R$17,$U17),"&gt;=0")))</f>
        <v>#N/A</v>
      </c>
      <c r="AH17" s="1" t="e" cm="1">
        <f t="array" ref="AH17">IF($V17="", "",IF(INDEX(S$8:S$17, $U17)&lt;0,SUMIF(S$8:INDEX(S$8:S$17,$U17),"&lt;0"),SUMIF(S$8:INDEX(S$8:S$17,$U17),"&gt;=0")))</f>
        <v>#N/A</v>
      </c>
      <c r="AI17" s="6"/>
    </row>
    <row r="18" spans="1:35" ht="15.75" x14ac:dyDescent="0.35">
      <c r="E18"/>
    </row>
    <row r="19" spans="1:35" ht="15.75" x14ac:dyDescent="0.35">
      <c r="B19" s="1" t="s">
        <v>94</v>
      </c>
      <c r="E19"/>
      <c r="G19" s="1" t="s">
        <v>95</v>
      </c>
      <c r="T19" s="10" t="s">
        <v>96</v>
      </c>
    </row>
    <row r="20" spans="1:35" ht="16.5" x14ac:dyDescent="0.35">
      <c r="B20" s="7" t="s">
        <v>97</v>
      </c>
      <c r="C20" s="7" t="s">
        <v>92</v>
      </c>
      <c r="D20" s="7" t="s">
        <v>93</v>
      </c>
      <c r="E20"/>
      <c r="G20" s="7" t="s">
        <v>97</v>
      </c>
      <c r="H20" s="7" t="s">
        <v>7</v>
      </c>
      <c r="I20" s="7" t="s">
        <v>8</v>
      </c>
      <c r="J20" s="7" t="s">
        <v>9</v>
      </c>
      <c r="K20" s="7" t="s">
        <v>10</v>
      </c>
      <c r="L20" s="7" t="s">
        <v>11</v>
      </c>
      <c r="M20" s="7" t="s">
        <v>12</v>
      </c>
      <c r="N20" s="7" t="s">
        <v>13</v>
      </c>
      <c r="O20" s="7" t="s">
        <v>14</v>
      </c>
      <c r="P20" s="7" t="s">
        <v>15</v>
      </c>
      <c r="Q20" s="7" t="s">
        <v>16</v>
      </c>
      <c r="R20" s="7" t="s">
        <v>17</v>
      </c>
      <c r="S20" s="7" t="s">
        <v>18</v>
      </c>
      <c r="T20" s="7" t="s">
        <v>24</v>
      </c>
      <c r="V20" s="7" t="s">
        <v>97</v>
      </c>
      <c r="W20" s="7" t="s">
        <v>7</v>
      </c>
      <c r="X20" s="7" t="s">
        <v>8</v>
      </c>
      <c r="Y20" s="7" t="s">
        <v>9</v>
      </c>
      <c r="Z20" s="7" t="s">
        <v>10</v>
      </c>
      <c r="AA20" s="7" t="s">
        <v>11</v>
      </c>
      <c r="AB20" s="7" t="s">
        <v>12</v>
      </c>
      <c r="AC20" s="7" t="s">
        <v>13</v>
      </c>
      <c r="AD20" s="7" t="s">
        <v>14</v>
      </c>
      <c r="AE20" s="7" t="s">
        <v>15</v>
      </c>
      <c r="AF20" s="7" t="s">
        <v>16</v>
      </c>
      <c r="AG20" s="7" t="s">
        <v>17</v>
      </c>
      <c r="AH20" s="7" t="s">
        <v>18</v>
      </c>
    </row>
    <row r="21" spans="1:35" ht="15.75" x14ac:dyDescent="0.35">
      <c r="A21" s="3">
        <f>MATCH(B21,入力!$C:$C,0)</f>
        <v>19</v>
      </c>
      <c r="B21" s="1" t="s">
        <v>25</v>
      </c>
      <c r="C21" s="1" t="str">
        <f>B21</f>
        <v>収入</v>
      </c>
      <c r="D21" s="6" cm="1">
        <f t="array" ref="D21">INDEX(入力!$F$19:$Q$19,0,$B$1)</f>
        <v>451364</v>
      </c>
      <c r="E21"/>
      <c r="G21" s="1" t="s">
        <v>25</v>
      </c>
      <c r="H21" s="6">
        <f>ROUND(W21/10000,0)</f>
        <v>60</v>
      </c>
      <c r="I21" s="6">
        <f t="shared" ref="I21:S22" si="3">ROUND(X21/10000,0)</f>
        <v>45</v>
      </c>
      <c r="J21" s="6">
        <f t="shared" si="3"/>
        <v>45</v>
      </c>
      <c r="K21" s="6">
        <f t="shared" si="3"/>
        <v>45</v>
      </c>
      <c r="L21" s="6">
        <f t="shared" si="3"/>
        <v>45</v>
      </c>
      <c r="M21" s="6">
        <f t="shared" si="3"/>
        <v>83</v>
      </c>
      <c r="N21" s="6">
        <f t="shared" si="3"/>
        <v>45</v>
      </c>
      <c r="O21" s="6" t="e">
        <f t="shared" si="3"/>
        <v>#N/A</v>
      </c>
      <c r="P21" s="6" t="e">
        <f t="shared" si="3"/>
        <v>#N/A</v>
      </c>
      <c r="Q21" s="6" t="e">
        <f t="shared" si="3"/>
        <v>#N/A</v>
      </c>
      <c r="R21" s="6" t="e">
        <f t="shared" si="3"/>
        <v>#N/A</v>
      </c>
      <c r="S21" s="6" t="e">
        <f t="shared" si="3"/>
        <v>#N/A</v>
      </c>
      <c r="T21" s="6">
        <f>SUM(W21:INDEX($W21:$AH21,,MATCH($B$1&amp;"月",$W$20:$AH$20,0)))</f>
        <v>3690600</v>
      </c>
      <c r="V21" s="1" t="s">
        <v>25</v>
      </c>
      <c r="W21" s="6">
        <f>IF(H$2&gt;$B$1,NA(),入力!F19)</f>
        <v>601110</v>
      </c>
      <c r="X21" s="6">
        <f>IF(I$2&gt;$B$1,NA(),入力!G19)</f>
        <v>451100</v>
      </c>
      <c r="Y21" s="6">
        <f>IF(J$2&gt;$B$1,NA(),入力!H19)</f>
        <v>451130</v>
      </c>
      <c r="Z21" s="6">
        <f>IF(K$2&gt;$B$1,NA(),入力!I19)</f>
        <v>451552</v>
      </c>
      <c r="AA21" s="6">
        <f>IF(L$2&gt;$B$1,NA(),入力!J19)</f>
        <v>451073</v>
      </c>
      <c r="AB21" s="6">
        <f>IF(M$2&gt;$B$1,NA(),入力!K19)</f>
        <v>833271</v>
      </c>
      <c r="AC21" s="6">
        <f>IF(N$2&gt;$B$1,NA(),入力!L19)</f>
        <v>451364</v>
      </c>
      <c r="AD21" s="6" t="e">
        <f>IF(O$2&gt;$B$1,NA(),入力!M19)</f>
        <v>#N/A</v>
      </c>
      <c r="AE21" s="6" t="e">
        <f>IF(P$2&gt;$B$1,NA(),入力!N19)</f>
        <v>#N/A</v>
      </c>
      <c r="AF21" s="6" t="e">
        <f>IF(Q$2&gt;$B$1,NA(),入力!O19)</f>
        <v>#N/A</v>
      </c>
      <c r="AG21" s="6" t="e">
        <f>IF(R$2&gt;$B$1,NA(),入力!P19)</f>
        <v>#N/A</v>
      </c>
      <c r="AH21" s="6" t="e">
        <f>IF(S$2&gt;$B$1,NA(),入力!Q19)</f>
        <v>#N/A</v>
      </c>
    </row>
    <row r="22" spans="1:35" ht="15.75" x14ac:dyDescent="0.35">
      <c r="A22" s="3">
        <f>MATCH(B22,入力!$C:$C,0)</f>
        <v>30</v>
      </c>
      <c r="B22" s="1" t="s">
        <v>28</v>
      </c>
      <c r="C22" s="1" t="str">
        <f t="shared" ref="C22:C24" si="4">B22</f>
        <v>支出</v>
      </c>
      <c r="D22" s="6" cm="1">
        <f t="array" ref="D22">INDEX(入力!$F$30:$Q$30,0,$B$1)</f>
        <v>272841</v>
      </c>
      <c r="E22"/>
      <c r="G22" s="1" t="s">
        <v>28</v>
      </c>
      <c r="H22" s="6">
        <f>ROUND(W22/10000,0)</f>
        <v>36</v>
      </c>
      <c r="I22" s="6">
        <f t="shared" si="3"/>
        <v>26</v>
      </c>
      <c r="J22" s="6">
        <f t="shared" si="3"/>
        <v>26</v>
      </c>
      <c r="K22" s="6">
        <f t="shared" si="3"/>
        <v>30</v>
      </c>
      <c r="L22" s="6">
        <f t="shared" si="3"/>
        <v>38</v>
      </c>
      <c r="M22" s="6">
        <f t="shared" si="3"/>
        <v>26</v>
      </c>
      <c r="N22" s="6">
        <f t="shared" si="3"/>
        <v>27</v>
      </c>
      <c r="O22" s="6" t="e">
        <f t="shared" si="3"/>
        <v>#N/A</v>
      </c>
      <c r="P22" s="6" t="e">
        <f t="shared" si="3"/>
        <v>#N/A</v>
      </c>
      <c r="Q22" s="6" t="e">
        <f t="shared" si="3"/>
        <v>#N/A</v>
      </c>
      <c r="R22" s="6" t="e">
        <f t="shared" si="3"/>
        <v>#N/A</v>
      </c>
      <c r="S22" s="6" t="e">
        <f t="shared" si="3"/>
        <v>#N/A</v>
      </c>
      <c r="T22" s="6">
        <f>SUM(W22:INDEX($W22:$AH22,,MATCH($B$1&amp;"月",$W$20:$AH$20,0)))</f>
        <v>2089455</v>
      </c>
      <c r="V22" s="1" t="s">
        <v>28</v>
      </c>
      <c r="W22" s="6">
        <f>IF(H$2&gt;$B$1,NA(),入力!F30)</f>
        <v>357855</v>
      </c>
      <c r="X22" s="6">
        <f>IF(I$2&gt;$B$1,NA(),入力!G30)</f>
        <v>257232</v>
      </c>
      <c r="Y22" s="6">
        <f>IF(J$2&gt;$B$1,NA(),入力!H30)</f>
        <v>259873</v>
      </c>
      <c r="Z22" s="6">
        <f>IF(K$2&gt;$B$1,NA(),入力!I30)</f>
        <v>300026</v>
      </c>
      <c r="AA22" s="6">
        <f>IF(L$2&gt;$B$1,NA(),入力!J30)</f>
        <v>383623</v>
      </c>
      <c r="AB22" s="6">
        <f>IF(M$2&gt;$B$1,NA(),入力!K30)</f>
        <v>258005</v>
      </c>
      <c r="AC22" s="6">
        <f>IF(N$2&gt;$B$1,NA(),入力!L30)</f>
        <v>272841</v>
      </c>
      <c r="AD22" s="6" t="e">
        <f>IF(O$2&gt;$B$1,NA(),入力!M30)</f>
        <v>#N/A</v>
      </c>
      <c r="AE22" s="6" t="e">
        <f>IF(P$2&gt;$B$1,NA(),入力!N30)</f>
        <v>#N/A</v>
      </c>
      <c r="AF22" s="6" t="e">
        <f>IF(Q$2&gt;$B$1,NA(),入力!O30)</f>
        <v>#N/A</v>
      </c>
      <c r="AG22" s="6" t="e">
        <f>IF(R$2&gt;$B$1,NA(),入力!P30)</f>
        <v>#N/A</v>
      </c>
      <c r="AH22" s="6" t="e">
        <f>IF(S$2&gt;$B$1,NA(),入力!Q30)</f>
        <v>#N/A</v>
      </c>
    </row>
    <row r="23" spans="1:35" ht="15.75" x14ac:dyDescent="0.35">
      <c r="B23" s="1" t="s">
        <v>98</v>
      </c>
      <c r="C23" s="1" t="str">
        <f t="shared" si="4"/>
        <v>収支</v>
      </c>
      <c r="D23" s="6">
        <f>D21-D22</f>
        <v>178523</v>
      </c>
      <c r="E23"/>
      <c r="G23" s="1" t="s">
        <v>99</v>
      </c>
      <c r="H23" s="8">
        <f>IF(H$2&gt;$B$1,NA(),ROUND((入力!F19-入力!F30)/入力!F19,3))</f>
        <v>0.40500000000000003</v>
      </c>
      <c r="I23" s="8">
        <f>IF(I$2&gt;$B$1,NA(),ROUND((入力!G19-入力!G30)/入力!G19,3))</f>
        <v>0.43</v>
      </c>
      <c r="J23" s="8">
        <f>IF(J$2&gt;$B$1,NA(),ROUND((入力!H19-入力!H30)/入力!H19,3))</f>
        <v>0.42399999999999999</v>
      </c>
      <c r="K23" s="8">
        <f>IF(K$2&gt;$B$1,NA(),ROUND((入力!I19-入力!I30)/入力!I19,3))</f>
        <v>0.33600000000000002</v>
      </c>
      <c r="L23" s="8">
        <f>IF(L$2&gt;$B$1,NA(),ROUND((入力!J19-入力!J30)/入力!J19,3))</f>
        <v>0.15</v>
      </c>
      <c r="M23" s="8">
        <f>IF(M$2&gt;$B$1,NA(),ROUND((入力!K19-入力!K30)/入力!K19,3))</f>
        <v>0.69</v>
      </c>
      <c r="N23" s="8">
        <f>IF(N$2&gt;$B$1,NA(),ROUND((入力!L19-入力!L30)/入力!L19,3))</f>
        <v>0.39600000000000002</v>
      </c>
      <c r="O23" s="8" t="e">
        <f>IF(O$2&gt;$B$1,NA(),ROUND((入力!M19-入力!M30)/入力!M19,3))</f>
        <v>#N/A</v>
      </c>
      <c r="P23" s="8" t="e">
        <f>IF(P$2&gt;$B$1,NA(),ROUND((入力!N19-入力!N30)/入力!N19,3))</f>
        <v>#N/A</v>
      </c>
      <c r="Q23" s="8" t="e">
        <f>IF(Q$2&gt;$B$1,NA(),ROUND((入力!O19-入力!O30)/入力!O19,3))</f>
        <v>#N/A</v>
      </c>
      <c r="R23" s="8" t="e">
        <f>IF(R$2&gt;$B$1,NA(),ROUND((入力!P19-入力!P30)/入力!P19,3))</f>
        <v>#N/A</v>
      </c>
      <c r="S23" s="8" t="e">
        <f>IF(S$2&gt;$B$1,NA(),ROUND((入力!Q19-入力!Q30)/入力!Q19,3))</f>
        <v>#N/A</v>
      </c>
      <c r="T23" s="8">
        <f>IFERROR(ROUND((T21-T22)/T21,3),"")</f>
        <v>0.434</v>
      </c>
    </row>
    <row r="24" spans="1:35" ht="15.75" x14ac:dyDescent="0.35">
      <c r="B24" s="1" t="s">
        <v>99</v>
      </c>
      <c r="C24" s="1" t="str">
        <f t="shared" si="4"/>
        <v>貯蓄率</v>
      </c>
      <c r="D24" s="8">
        <f>IFERROR(ROUND(D23/D21,3),"")</f>
        <v>0.39600000000000002</v>
      </c>
      <c r="E2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35" ht="15.75" x14ac:dyDescent="0.35">
      <c r="C25" s="6"/>
      <c r="E2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35" ht="15.75" x14ac:dyDescent="0.35">
      <c r="B26" s="1" t="s">
        <v>100</v>
      </c>
      <c r="D26"/>
      <c r="E26"/>
      <c r="G26" s="1" t="s">
        <v>101</v>
      </c>
    </row>
    <row r="27" spans="1:35" ht="16.5" x14ac:dyDescent="0.35">
      <c r="A27" s="7" t="s">
        <v>102</v>
      </c>
      <c r="B27" s="7" t="s">
        <v>97</v>
      </c>
      <c r="C27" s="7" t="s">
        <v>92</v>
      </c>
      <c r="D27" s="7" t="s">
        <v>93</v>
      </c>
      <c r="E27"/>
      <c r="G27" s="7" t="s">
        <v>97</v>
      </c>
      <c r="H27" s="7" t="s">
        <v>7</v>
      </c>
      <c r="I27" s="7" t="s">
        <v>8</v>
      </c>
      <c r="J27" s="7" t="s">
        <v>9</v>
      </c>
      <c r="K27" s="7" t="s">
        <v>10</v>
      </c>
      <c r="L27" s="7" t="s">
        <v>11</v>
      </c>
      <c r="M27" s="7" t="s">
        <v>12</v>
      </c>
      <c r="N27" s="7" t="s">
        <v>13</v>
      </c>
      <c r="O27" s="7" t="s">
        <v>14</v>
      </c>
      <c r="P27" s="7" t="s">
        <v>15</v>
      </c>
      <c r="Q27" s="7" t="s">
        <v>16</v>
      </c>
      <c r="R27" s="7" t="s">
        <v>17</v>
      </c>
      <c r="S27" s="7" t="s">
        <v>18</v>
      </c>
      <c r="T27" s="7" t="s">
        <v>24</v>
      </c>
    </row>
    <row r="28" spans="1:35" x14ac:dyDescent="0.35">
      <c r="A28" s="6">
        <f>RANK(D28,$D$28:$D$77)+COUNTIF($D$28:D28,D28)-1</f>
        <v>1</v>
      </c>
      <c r="B28" s="1" t="str" cm="1">
        <f t="array" ref="B28">IFERROR(INDEX(入力!$B:$B,$V28),"")</f>
        <v>住宅</v>
      </c>
      <c r="C28" s="1" t="str">
        <f t="shared" ref="C28:C77" si="5">IF(D28/$D$22&lt;0.05,"",B28)</f>
        <v>住宅</v>
      </c>
      <c r="D28" s="6">
        <f>SUMIF(入力!$B$31:$B$80,$B28,INDEX(入力!$F$31:$Q$80,0,$B$1))</f>
        <v>127500</v>
      </c>
      <c r="E28" s="3">
        <f>IF(COUNTIF(入力!$B$31:'入力'!B31,入力!B31)=1,ROW(入力!B31),"")</f>
        <v>31</v>
      </c>
      <c r="F28" s="6">
        <f>RANK(T28,$T$28:$T$77)+COUNTIF($T$28:T28,T28)-1</f>
        <v>1</v>
      </c>
      <c r="G28" s="1" t="str">
        <f>B28</f>
        <v>住宅</v>
      </c>
      <c r="H28" s="6">
        <f>IF(H$2&gt;$B$1,NA(),SUMIF(入力!$B$31:$B$80,集計!$G28,入力!F$31:F$80))</f>
        <v>127500</v>
      </c>
      <c r="I28" s="6">
        <f>IF(I$2&gt;$B$1,NA(),SUMIF(入力!$B$31:$B$80,集計!$G28,入力!G$31:G$80))</f>
        <v>127500</v>
      </c>
      <c r="J28" s="6">
        <f>IF(J$2&gt;$B$1,NA(),SUMIF(入力!$B$31:$B$80,集計!$G28,入力!H$31:H$80))</f>
        <v>127500</v>
      </c>
      <c r="K28" s="6">
        <f>IF(K$2&gt;$B$1,NA(),SUMIF(入力!$B$31:$B$80,集計!$G28,入力!I$31:I$80))</f>
        <v>127500</v>
      </c>
      <c r="L28" s="6">
        <f>IF(L$2&gt;$B$1,NA(),SUMIF(入力!$B$31:$B$80,集計!$G28,入力!J$31:J$80))</f>
        <v>127500</v>
      </c>
      <c r="M28" s="6">
        <f>IF(M$2&gt;$B$1,NA(),SUMIF(入力!$B$31:$B$80,集計!$G28,入力!K$31:K$80))</f>
        <v>127500</v>
      </c>
      <c r="N28" s="6">
        <f>IF(N$2&gt;$B$1,NA(),SUMIF(入力!$B$31:$B$80,集計!$G28,入力!L$31:L$80))</f>
        <v>127500</v>
      </c>
      <c r="O28" s="6" t="e">
        <f>IF(O$2&gt;$B$1,NA(),SUMIF(入力!$B$31:$B$80,集計!$G28,入力!M$31:M$80))</f>
        <v>#N/A</v>
      </c>
      <c r="P28" s="6" t="e">
        <f>IF(P$2&gt;$B$1,NA(),SUMIF(入力!$B$31:$B$80,集計!$G28,入力!N$31:N$80))</f>
        <v>#N/A</v>
      </c>
      <c r="Q28" s="6" t="e">
        <f>IF(Q$2&gt;$B$1,NA(),SUMIF(入力!$B$31:$B$80,集計!$G28,入力!O$31:O$80))</f>
        <v>#N/A</v>
      </c>
      <c r="R28" s="6" t="e">
        <f>IF(R$2&gt;$B$1,NA(),SUMIF(入力!$B$31:$B$80,集計!$G28,入力!P$31:P$80))</f>
        <v>#N/A</v>
      </c>
      <c r="S28" s="6" t="e">
        <f>IF(S$2&gt;$B$1,NA(),SUMIF(入力!$B$31:$B$80,集計!$G28,入力!Q$31:Q$80))</f>
        <v>#N/A</v>
      </c>
      <c r="T28" s="6">
        <f>SUM(H28:INDEX($H28:$S28,0,$B$1))</f>
        <v>892500</v>
      </c>
      <c r="V28" s="3">
        <f>SMALL($E$28:$E$77,ROW()-ROW($V$27))</f>
        <v>31</v>
      </c>
    </row>
    <row r="29" spans="1:35" x14ac:dyDescent="0.35">
      <c r="A29" s="6">
        <f>RANK(D29,$D$28:$D$77)+COUNTIF($D$28:D29,D29)-1</f>
        <v>7</v>
      </c>
      <c r="B29" s="1" t="str" cm="1">
        <f t="array" ref="B29">IFERROR(INDEX(入力!$B:$B,$V29),"")</f>
        <v>水道・光熱費</v>
      </c>
      <c r="C29" s="1" t="str">
        <f t="shared" si="5"/>
        <v/>
      </c>
      <c r="D29" s="6">
        <f>SUMIF(入力!$B$31:$B$80,$B29,INDEX(入力!$F$31:$Q$80,0,$B$1))</f>
        <v>9978</v>
      </c>
      <c r="E29" s="3" t="str">
        <f>IF(COUNTIF(入力!$B$31:'入力'!B32,入力!B32)=1,ROW(入力!B32),"")</f>
        <v/>
      </c>
      <c r="F29" s="6">
        <f>RANK(T29,$T$28:$T$77)+COUNTIF($T$28:T29,T29)-1</f>
        <v>5</v>
      </c>
      <c r="G29" s="1" t="str">
        <f t="shared" ref="G29:G77" si="6">B29</f>
        <v>水道・光熱費</v>
      </c>
      <c r="H29" s="6">
        <f>IF(H$2&gt;$B$1,NA(),SUMIF(入力!$B$31:$B$80,集計!$G29,入力!F$31:F$80))</f>
        <v>13051</v>
      </c>
      <c r="I29" s="6">
        <f>IF(I$2&gt;$B$1,NA(),SUMIF(入力!$B$31:$B$80,集計!$G29,入力!G$31:G$80))</f>
        <v>17131</v>
      </c>
      <c r="J29" s="6">
        <f>IF(J$2&gt;$B$1,NA(),SUMIF(入力!$B$31:$B$80,集計!$G29,入力!H$31:H$80))</f>
        <v>11945</v>
      </c>
      <c r="K29" s="6">
        <f>IF(K$2&gt;$B$1,NA(),SUMIF(入力!$B$31:$B$80,集計!$G29,入力!I$31:I$80))</f>
        <v>15666</v>
      </c>
      <c r="L29" s="6">
        <f>IF(L$2&gt;$B$1,NA(),SUMIF(入力!$B$31:$B$80,集計!$G29,入力!J$31:J$80))</f>
        <v>9733</v>
      </c>
      <c r="M29" s="6">
        <f>IF(M$2&gt;$B$1,NA(),SUMIF(入力!$B$31:$B$80,集計!$G29,入力!K$31:K$80))</f>
        <v>15397</v>
      </c>
      <c r="N29" s="6">
        <f>IF(N$2&gt;$B$1,NA(),SUMIF(入力!$B$31:$B$80,集計!$G29,入力!L$31:L$80))</f>
        <v>9978</v>
      </c>
      <c r="O29" s="6" t="e">
        <f>IF(O$2&gt;$B$1,NA(),SUMIF(入力!$B$31:$B$80,集計!$G29,入力!M$31:M$80))</f>
        <v>#N/A</v>
      </c>
      <c r="P29" s="6" t="e">
        <f>IF(P$2&gt;$B$1,NA(),SUMIF(入力!$B$31:$B$80,集計!$G29,入力!N$31:N$80))</f>
        <v>#N/A</v>
      </c>
      <c r="Q29" s="6" t="e">
        <f>IF(Q$2&gt;$B$1,NA(),SUMIF(入力!$B$31:$B$80,集計!$G29,入力!O$31:O$80))</f>
        <v>#N/A</v>
      </c>
      <c r="R29" s="6" t="e">
        <f>IF(R$2&gt;$B$1,NA(),SUMIF(入力!$B$31:$B$80,集計!$G29,入力!P$31:P$80))</f>
        <v>#N/A</v>
      </c>
      <c r="S29" s="6" t="e">
        <f>IF(S$2&gt;$B$1,NA(),SUMIF(入力!$B$31:$B$80,集計!$G29,入力!Q$31:Q$80))</f>
        <v>#N/A</v>
      </c>
      <c r="T29" s="6">
        <f>SUM(H29:INDEX($H29:$S29,0,$B$1))</f>
        <v>92901</v>
      </c>
      <c r="V29" s="3">
        <f t="shared" ref="V29:V77" si="7">SMALL($E$28:$E$77,ROW()-ROW($V$27))</f>
        <v>33</v>
      </c>
    </row>
    <row r="30" spans="1:35" x14ac:dyDescent="0.35">
      <c r="A30" s="6">
        <f>RANK(D30,$D$28:$D$77)+COUNTIF($D$28:D30,D30)-1</f>
        <v>8</v>
      </c>
      <c r="B30" s="1" t="str" cm="1">
        <f t="array" ref="B30">IFERROR(INDEX(入力!$B:$B,$V30),"")</f>
        <v>通信費</v>
      </c>
      <c r="C30" s="1" t="str">
        <f t="shared" si="5"/>
        <v/>
      </c>
      <c r="D30" s="6">
        <f>SUMIF(入力!$B$31:$B$80,$B30,INDEX(入力!$F$31:$Q$80,0,$B$1))</f>
        <v>8145</v>
      </c>
      <c r="E30" s="3">
        <f>IF(COUNTIF(入力!$B$31:'入力'!B33,入力!B33)=1,ROW(入力!B33),"")</f>
        <v>33</v>
      </c>
      <c r="F30" s="6">
        <f>RANK(T30,$T$28:$T$77)+COUNTIF($T$28:T30,T30)-1</f>
        <v>10</v>
      </c>
      <c r="G30" s="1" t="str">
        <f t="shared" si="6"/>
        <v>通信費</v>
      </c>
      <c r="H30" s="6">
        <f>IF(H$2&gt;$B$1,NA(),SUMIF(入力!$B$31:$B$80,集計!$G30,入力!F$31:F$80))</f>
        <v>8271</v>
      </c>
      <c r="I30" s="6">
        <f>IF(I$2&gt;$B$1,NA(),SUMIF(入力!$B$31:$B$80,集計!$G30,入力!G$31:G$80))</f>
        <v>8502</v>
      </c>
      <c r="J30" s="6">
        <f>IF(J$2&gt;$B$1,NA(),SUMIF(入力!$B$31:$B$80,集計!$G30,入力!H$31:H$80))</f>
        <v>8753</v>
      </c>
      <c r="K30" s="6">
        <f>IF(K$2&gt;$B$1,NA(),SUMIF(入力!$B$31:$B$80,集計!$G30,入力!I$31:I$80))</f>
        <v>8943</v>
      </c>
      <c r="L30" s="6">
        <f>IF(L$2&gt;$B$1,NA(),SUMIF(入力!$B$31:$B$80,集計!$G30,入力!J$31:J$80))</f>
        <v>8088</v>
      </c>
      <c r="M30" s="6">
        <f>IF(M$2&gt;$B$1,NA(),SUMIF(入力!$B$31:$B$80,集計!$G30,入力!K$31:K$80))</f>
        <v>8898</v>
      </c>
      <c r="N30" s="6">
        <f>IF(N$2&gt;$B$1,NA(),SUMIF(入力!$B$31:$B$80,集計!$G30,入力!L$31:L$80))</f>
        <v>8145</v>
      </c>
      <c r="O30" s="6" t="e">
        <f>IF(O$2&gt;$B$1,NA(),SUMIF(入力!$B$31:$B$80,集計!$G30,入力!M$31:M$80))</f>
        <v>#N/A</v>
      </c>
      <c r="P30" s="6" t="e">
        <f>IF(P$2&gt;$B$1,NA(),SUMIF(入力!$B$31:$B$80,集計!$G30,入力!N$31:N$80))</f>
        <v>#N/A</v>
      </c>
      <c r="Q30" s="6" t="e">
        <f>IF(Q$2&gt;$B$1,NA(),SUMIF(入力!$B$31:$B$80,集計!$G30,入力!O$31:O$80))</f>
        <v>#N/A</v>
      </c>
      <c r="R30" s="6" t="e">
        <f>IF(R$2&gt;$B$1,NA(),SUMIF(入力!$B$31:$B$80,集計!$G30,入力!P$31:P$80))</f>
        <v>#N/A</v>
      </c>
      <c r="S30" s="6" t="e">
        <f>IF(S$2&gt;$B$1,NA(),SUMIF(入力!$B$31:$B$80,集計!$G30,入力!Q$31:Q$80))</f>
        <v>#N/A</v>
      </c>
      <c r="T30" s="6">
        <f>SUM(H30:INDEX($H30:$S30,0,$B$1))</f>
        <v>59600</v>
      </c>
      <c r="V30" s="3">
        <f t="shared" si="7"/>
        <v>36</v>
      </c>
    </row>
    <row r="31" spans="1:35" x14ac:dyDescent="0.35">
      <c r="A31" s="6">
        <f>RANK(D31,$D$28:$D$77)+COUNTIF($D$28:D31,D31)-1</f>
        <v>4</v>
      </c>
      <c r="B31" s="1" t="str" cm="1">
        <f t="array" ref="B31">IFERROR(INDEX(入力!$B:$B,$V31),"")</f>
        <v>保険</v>
      </c>
      <c r="C31" s="1" t="str">
        <f t="shared" si="5"/>
        <v>保険</v>
      </c>
      <c r="D31" s="6">
        <f>SUMIF(入力!$B$31:$B$80,$B31,INDEX(入力!$F$31:$Q$80,0,$B$1))</f>
        <v>18000</v>
      </c>
      <c r="E31" s="3" t="str">
        <f>IF(COUNTIF(入力!$B$31:'入力'!B34,入力!B34)=1,ROW(入力!B34),"")</f>
        <v/>
      </c>
      <c r="F31" s="6">
        <f>RANK(T31,$T$28:$T$77)+COUNTIF($T$28:T31,T31)-1</f>
        <v>4</v>
      </c>
      <c r="G31" s="1" t="str">
        <f t="shared" si="6"/>
        <v>保険</v>
      </c>
      <c r="H31" s="6">
        <f>IF(H$2&gt;$B$1,NA(),SUMIF(入力!$B$31:$B$80,集計!$G31,入力!F$31:F$80))</f>
        <v>18000</v>
      </c>
      <c r="I31" s="6">
        <f>IF(I$2&gt;$B$1,NA(),SUMIF(入力!$B$31:$B$80,集計!$G31,入力!G$31:G$80))</f>
        <v>18000</v>
      </c>
      <c r="J31" s="6">
        <f>IF(J$2&gt;$B$1,NA(),SUMIF(入力!$B$31:$B$80,集計!$G31,入力!H$31:H$80))</f>
        <v>18000</v>
      </c>
      <c r="K31" s="6">
        <f>IF(K$2&gt;$B$1,NA(),SUMIF(入力!$B$31:$B$80,集計!$G31,入力!I$31:I$80))</f>
        <v>18000</v>
      </c>
      <c r="L31" s="6">
        <f>IF(L$2&gt;$B$1,NA(),SUMIF(入力!$B$31:$B$80,集計!$G31,入力!J$31:J$80))</f>
        <v>18000</v>
      </c>
      <c r="M31" s="6">
        <f>IF(M$2&gt;$B$1,NA(),SUMIF(入力!$B$31:$B$80,集計!$G31,入力!K$31:K$80))</f>
        <v>18000</v>
      </c>
      <c r="N31" s="6">
        <f>IF(N$2&gt;$B$1,NA(),SUMIF(入力!$B$31:$B$80,集計!$G31,入力!L$31:L$80))</f>
        <v>18000</v>
      </c>
      <c r="O31" s="6" t="e">
        <f>IF(O$2&gt;$B$1,NA(),SUMIF(入力!$B$31:$B$80,集計!$G31,入力!M$31:M$80))</f>
        <v>#N/A</v>
      </c>
      <c r="P31" s="6" t="e">
        <f>IF(P$2&gt;$B$1,NA(),SUMIF(入力!$B$31:$B$80,集計!$G31,入力!N$31:N$80))</f>
        <v>#N/A</v>
      </c>
      <c r="Q31" s="6" t="e">
        <f>IF(Q$2&gt;$B$1,NA(),SUMIF(入力!$B$31:$B$80,集計!$G31,入力!O$31:O$80))</f>
        <v>#N/A</v>
      </c>
      <c r="R31" s="6" t="e">
        <f>IF(R$2&gt;$B$1,NA(),SUMIF(入力!$B$31:$B$80,集計!$G31,入力!P$31:P$80))</f>
        <v>#N/A</v>
      </c>
      <c r="S31" s="6" t="e">
        <f>IF(S$2&gt;$B$1,NA(),SUMIF(入力!$B$31:$B$80,集計!$G31,入力!Q$31:Q$80))</f>
        <v>#N/A</v>
      </c>
      <c r="T31" s="6">
        <f>SUM(H31:INDEX($H31:$S31,0,$B$1))</f>
        <v>126000</v>
      </c>
      <c r="V31" s="3">
        <f t="shared" si="7"/>
        <v>38</v>
      </c>
    </row>
    <row r="32" spans="1:35" x14ac:dyDescent="0.35">
      <c r="A32" s="6">
        <f>RANK(D32,$D$28:$D$77)+COUNTIF($D$28:D32,D32)-1</f>
        <v>5</v>
      </c>
      <c r="B32" s="1" t="str" cm="1">
        <f t="array" ref="B32">IFERROR(INDEX(入力!$B:$B,$V32),"")</f>
        <v>教養・教育</v>
      </c>
      <c r="C32" s="1" t="str">
        <f t="shared" si="5"/>
        <v/>
      </c>
      <c r="D32" s="6">
        <f>SUMIF(入力!$B$31:$B$80,$B32,INDEX(入力!$F$31:$Q$80,0,$B$1))</f>
        <v>12500</v>
      </c>
      <c r="E32" s="3" t="str">
        <f>IF(COUNTIF(入力!$B$31:'入力'!B35,入力!B35)=1,ROW(入力!B35),"")</f>
        <v/>
      </c>
      <c r="F32" s="6">
        <f>RANK(T32,$T$28:$T$77)+COUNTIF($T$28:T32,T32)-1</f>
        <v>7</v>
      </c>
      <c r="G32" s="1" t="str">
        <f t="shared" si="6"/>
        <v>教養・教育</v>
      </c>
      <c r="H32" s="6">
        <f>IF(H$2&gt;$B$1,NA(),SUMIF(入力!$B$31:$B$80,集計!$G32,入力!F$31:F$80))</f>
        <v>12500</v>
      </c>
      <c r="I32" s="6">
        <f>IF(I$2&gt;$B$1,NA(),SUMIF(入力!$B$31:$B$80,集計!$G32,入力!G$31:G$80))</f>
        <v>12500</v>
      </c>
      <c r="J32" s="6">
        <f>IF(J$2&gt;$B$1,NA(),SUMIF(入力!$B$31:$B$80,集計!$G32,入力!H$31:H$80))</f>
        <v>12500</v>
      </c>
      <c r="K32" s="6">
        <f>IF(K$2&gt;$B$1,NA(),SUMIF(入力!$B$31:$B$80,集計!$G32,入力!I$31:I$80))</f>
        <v>12500</v>
      </c>
      <c r="L32" s="6">
        <f>IF(L$2&gt;$B$1,NA(),SUMIF(入力!$B$31:$B$80,集計!$G32,入力!J$31:J$80))</f>
        <v>15200</v>
      </c>
      <c r="M32" s="6">
        <f>IF(M$2&gt;$B$1,NA(),SUMIF(入力!$B$31:$B$80,集計!$G32,入力!K$31:K$80))</f>
        <v>12500</v>
      </c>
      <c r="N32" s="6">
        <f>IF(N$2&gt;$B$1,NA(),SUMIF(入力!$B$31:$B$80,集計!$G32,入力!L$31:L$80))</f>
        <v>12500</v>
      </c>
      <c r="O32" s="6" t="e">
        <f>IF(O$2&gt;$B$1,NA(),SUMIF(入力!$B$31:$B$80,集計!$G32,入力!M$31:M$80))</f>
        <v>#N/A</v>
      </c>
      <c r="P32" s="6" t="e">
        <f>IF(P$2&gt;$B$1,NA(),SUMIF(入力!$B$31:$B$80,集計!$G32,入力!N$31:N$80))</f>
        <v>#N/A</v>
      </c>
      <c r="Q32" s="6" t="e">
        <f>IF(Q$2&gt;$B$1,NA(),SUMIF(入力!$B$31:$B$80,集計!$G32,入力!O$31:O$80))</f>
        <v>#N/A</v>
      </c>
      <c r="R32" s="6" t="e">
        <f>IF(R$2&gt;$B$1,NA(),SUMIF(入力!$B$31:$B$80,集計!$G32,入力!P$31:P$80))</f>
        <v>#N/A</v>
      </c>
      <c r="S32" s="6" t="e">
        <f>IF(S$2&gt;$B$1,NA(),SUMIF(入力!$B$31:$B$80,集計!$G32,入力!Q$31:Q$80))</f>
        <v>#N/A</v>
      </c>
      <c r="T32" s="6">
        <f>SUM(H32:INDEX($H32:$S32,0,$B$1))</f>
        <v>90200</v>
      </c>
      <c r="V32" s="3">
        <f t="shared" si="7"/>
        <v>39</v>
      </c>
    </row>
    <row r="33" spans="1:22" x14ac:dyDescent="0.35">
      <c r="A33" s="6">
        <f>RANK(D33,$D$28:$D$77)+COUNTIF($D$28:D33,D33)-1</f>
        <v>2</v>
      </c>
      <c r="B33" s="1" t="str" cm="1">
        <f t="array" ref="B33">IFERROR(INDEX(入力!$B:$B,$V33),"")</f>
        <v>食費</v>
      </c>
      <c r="C33" s="1" t="str">
        <f t="shared" si="5"/>
        <v>食費</v>
      </c>
      <c r="D33" s="6">
        <f>SUMIF(入力!$B$31:$B$80,$B33,INDEX(入力!$F$31:$Q$80,0,$B$1))</f>
        <v>47295</v>
      </c>
      <c r="E33" s="3">
        <f>IF(COUNTIF(入力!$B$31:'入力'!B36,入力!B36)=1,ROW(入力!B36),"")</f>
        <v>36</v>
      </c>
      <c r="F33" s="6">
        <f>RANK(T33,$T$28:$T$77)+COUNTIF($T$28:T33,T33)-1</f>
        <v>2</v>
      </c>
      <c r="G33" s="1" t="str">
        <f t="shared" si="6"/>
        <v>食費</v>
      </c>
      <c r="H33" s="6">
        <f>IF(H$2&gt;$B$1,NA(),SUMIF(入力!$B$31:$B$80,集計!$G33,入力!F$31:F$80))</f>
        <v>75255</v>
      </c>
      <c r="I33" s="6">
        <f>IF(I$2&gt;$B$1,NA(),SUMIF(入力!$B$31:$B$80,集計!$G33,入力!G$31:G$80))</f>
        <v>46329</v>
      </c>
      <c r="J33" s="6">
        <f>IF(J$2&gt;$B$1,NA(),SUMIF(入力!$B$31:$B$80,集計!$G33,入力!H$31:H$80))</f>
        <v>51048</v>
      </c>
      <c r="K33" s="6">
        <f>IF(K$2&gt;$B$1,NA(),SUMIF(入力!$B$31:$B$80,集計!$G33,入力!I$31:I$80))</f>
        <v>47924</v>
      </c>
      <c r="L33" s="6">
        <f>IF(L$2&gt;$B$1,NA(),SUMIF(入力!$B$31:$B$80,集計!$G33,入力!J$31:J$80))</f>
        <v>81817</v>
      </c>
      <c r="M33" s="6">
        <f>IF(M$2&gt;$B$1,NA(),SUMIF(入力!$B$31:$B$80,集計!$G33,入力!K$31:K$80))</f>
        <v>47980</v>
      </c>
      <c r="N33" s="6">
        <f>IF(N$2&gt;$B$1,NA(),SUMIF(入力!$B$31:$B$80,集計!$G33,入力!L$31:L$80))</f>
        <v>47295</v>
      </c>
      <c r="O33" s="6" t="e">
        <f>IF(O$2&gt;$B$1,NA(),SUMIF(入力!$B$31:$B$80,集計!$G33,入力!M$31:M$80))</f>
        <v>#N/A</v>
      </c>
      <c r="P33" s="6" t="e">
        <f>IF(P$2&gt;$B$1,NA(),SUMIF(入力!$B$31:$B$80,集計!$G33,入力!N$31:N$80))</f>
        <v>#N/A</v>
      </c>
      <c r="Q33" s="6" t="e">
        <f>IF(Q$2&gt;$B$1,NA(),SUMIF(入力!$B$31:$B$80,集計!$G33,入力!O$31:O$80))</f>
        <v>#N/A</v>
      </c>
      <c r="R33" s="6" t="e">
        <f>IF(R$2&gt;$B$1,NA(),SUMIF(入力!$B$31:$B$80,集計!$G33,入力!P$31:P$80))</f>
        <v>#N/A</v>
      </c>
      <c r="S33" s="6" t="e">
        <f>IF(S$2&gt;$B$1,NA(),SUMIF(入力!$B$31:$B$80,集計!$G33,入力!Q$31:Q$80))</f>
        <v>#N/A</v>
      </c>
      <c r="T33" s="6">
        <f>SUM(H33:INDEX($H33:$S33,0,$B$1))</f>
        <v>397648</v>
      </c>
      <c r="V33" s="3">
        <f t="shared" si="7"/>
        <v>41</v>
      </c>
    </row>
    <row r="34" spans="1:22" x14ac:dyDescent="0.35">
      <c r="A34" s="6">
        <f>RANK(D34,$D$28:$D$77)+COUNTIF($D$28:D34,D34)-1</f>
        <v>6</v>
      </c>
      <c r="B34" s="1" t="str" cm="1">
        <f t="array" ref="B34">IFERROR(INDEX(入力!$B:$B,$V34),"")</f>
        <v>日用品</v>
      </c>
      <c r="C34" s="1" t="str">
        <f t="shared" si="5"/>
        <v/>
      </c>
      <c r="D34" s="6">
        <f>SUMIF(入力!$B$31:$B$80,$B34,INDEX(入力!$F$31:$Q$80,0,$B$1))</f>
        <v>11341</v>
      </c>
      <c r="E34" s="3" t="str">
        <f>IF(COUNTIF(入力!$B$31:'入力'!B37,入力!B37)=1,ROW(入力!B37),"")</f>
        <v/>
      </c>
      <c r="F34" s="6">
        <f>RANK(T34,$T$28:$T$77)+COUNTIF($T$28:T34,T34)-1</f>
        <v>11</v>
      </c>
      <c r="G34" s="1" t="str">
        <f t="shared" si="6"/>
        <v>日用品</v>
      </c>
      <c r="H34" s="6">
        <f>IF(H$2&gt;$B$1,NA(),SUMIF(入力!$B$31:$B$80,集計!$G34,入力!F$31:F$80))</f>
        <v>13437</v>
      </c>
      <c r="I34" s="6">
        <f>IF(I$2&gt;$B$1,NA(),SUMIF(入力!$B$31:$B$80,集計!$G34,入力!G$31:G$80))</f>
        <v>5647</v>
      </c>
      <c r="J34" s="6">
        <f>IF(J$2&gt;$B$1,NA(),SUMIF(入力!$B$31:$B$80,集計!$G34,入力!H$31:H$80))</f>
        <v>7106</v>
      </c>
      <c r="K34" s="6">
        <f>IF(K$2&gt;$B$1,NA(),SUMIF(入力!$B$31:$B$80,集計!$G34,入力!I$31:I$80))</f>
        <v>9137</v>
      </c>
      <c r="L34" s="6">
        <f>IF(L$2&gt;$B$1,NA(),SUMIF(入力!$B$31:$B$80,集計!$G34,入力!J$31:J$80))</f>
        <v>3582</v>
      </c>
      <c r="M34" s="6">
        <f>IF(M$2&gt;$B$1,NA(),SUMIF(入力!$B$31:$B$80,集計!$G34,入力!K$31:K$80))</f>
        <v>7738</v>
      </c>
      <c r="N34" s="6">
        <f>IF(N$2&gt;$B$1,NA(),SUMIF(入力!$B$31:$B$80,集計!$G34,入力!L$31:L$80))</f>
        <v>11341</v>
      </c>
      <c r="O34" s="6" t="e">
        <f>IF(O$2&gt;$B$1,NA(),SUMIF(入力!$B$31:$B$80,集計!$G34,入力!M$31:M$80))</f>
        <v>#N/A</v>
      </c>
      <c r="P34" s="6" t="e">
        <f>IF(P$2&gt;$B$1,NA(),SUMIF(入力!$B$31:$B$80,集計!$G34,入力!N$31:N$80))</f>
        <v>#N/A</v>
      </c>
      <c r="Q34" s="6" t="e">
        <f>IF(Q$2&gt;$B$1,NA(),SUMIF(入力!$B$31:$B$80,集計!$G34,入力!O$31:O$80))</f>
        <v>#N/A</v>
      </c>
      <c r="R34" s="6" t="e">
        <f>IF(R$2&gt;$B$1,NA(),SUMIF(入力!$B$31:$B$80,集計!$G34,入力!P$31:P$80))</f>
        <v>#N/A</v>
      </c>
      <c r="S34" s="6" t="e">
        <f>IF(S$2&gt;$B$1,NA(),SUMIF(入力!$B$31:$B$80,集計!$G34,入力!Q$31:Q$80))</f>
        <v>#N/A</v>
      </c>
      <c r="T34" s="6">
        <f>SUM(H34:INDEX($H34:$S34,0,$B$1))</f>
        <v>57988</v>
      </c>
      <c r="V34" s="3">
        <f t="shared" si="7"/>
        <v>43</v>
      </c>
    </row>
    <row r="35" spans="1:22" x14ac:dyDescent="0.35">
      <c r="A35" s="6">
        <f>RANK(D35,$D$28:$D$77)+COUNTIF($D$28:D35,D35)-1</f>
        <v>3</v>
      </c>
      <c r="B35" s="1" t="str" cm="1">
        <f t="array" ref="B35">IFERROR(INDEX(入力!$B:$B,$V35),"")</f>
        <v>交際費</v>
      </c>
      <c r="C35" s="1" t="str">
        <f t="shared" si="5"/>
        <v>交際費</v>
      </c>
      <c r="D35" s="6">
        <f>SUMIF(入力!$B$31:$B$80,$B35,INDEX(入力!$F$31:$Q$80,0,$B$1))</f>
        <v>30000</v>
      </c>
      <c r="E35" s="3">
        <f>IF(COUNTIF(入力!$B$31:'入力'!B38,入力!B38)=1,ROW(入力!B38),"")</f>
        <v>38</v>
      </c>
      <c r="F35" s="6">
        <f>RANK(T35,$T$28:$T$77)+COUNTIF($T$28:T35,T35)-1</f>
        <v>9</v>
      </c>
      <c r="G35" s="1" t="str">
        <f t="shared" si="6"/>
        <v>交際費</v>
      </c>
      <c r="H35" s="6">
        <f>IF(H$2&gt;$B$1,NA(),SUMIF(入力!$B$31:$B$80,集計!$G35,入力!F$31:F$80))</f>
        <v>20642</v>
      </c>
      <c r="I35" s="6">
        <f>IF(I$2&gt;$B$1,NA(),SUMIF(入力!$B$31:$B$80,集計!$G35,入力!G$31:G$80))</f>
        <v>6621</v>
      </c>
      <c r="J35" s="6">
        <f>IF(J$2&gt;$B$1,NA(),SUMIF(入力!$B$31:$B$80,集計!$G35,入力!H$31:H$80))</f>
        <v>0</v>
      </c>
      <c r="K35" s="6">
        <f>IF(K$2&gt;$B$1,NA(),SUMIF(入力!$B$31:$B$80,集計!$G35,入力!I$31:I$80))</f>
        <v>4302</v>
      </c>
      <c r="L35" s="6">
        <f>IF(L$2&gt;$B$1,NA(),SUMIF(入力!$B$31:$B$80,集計!$G35,入力!J$31:J$80))</f>
        <v>0</v>
      </c>
      <c r="M35" s="6">
        <f>IF(M$2&gt;$B$1,NA(),SUMIF(入力!$B$31:$B$80,集計!$G35,入力!K$31:K$80))</f>
        <v>0</v>
      </c>
      <c r="N35" s="6">
        <f>IF(N$2&gt;$B$1,NA(),SUMIF(入力!$B$31:$B$80,集計!$G35,入力!L$31:L$80))</f>
        <v>30000</v>
      </c>
      <c r="O35" s="6" t="e">
        <f>IF(O$2&gt;$B$1,NA(),SUMIF(入力!$B$31:$B$80,集計!$G35,入力!M$31:M$80))</f>
        <v>#N/A</v>
      </c>
      <c r="P35" s="6" t="e">
        <f>IF(P$2&gt;$B$1,NA(),SUMIF(入力!$B$31:$B$80,集計!$G35,入力!N$31:N$80))</f>
        <v>#N/A</v>
      </c>
      <c r="Q35" s="6" t="e">
        <f>IF(Q$2&gt;$B$1,NA(),SUMIF(入力!$B$31:$B$80,集計!$G35,入力!O$31:O$80))</f>
        <v>#N/A</v>
      </c>
      <c r="R35" s="6" t="e">
        <f>IF(R$2&gt;$B$1,NA(),SUMIF(入力!$B$31:$B$80,集計!$G35,入力!P$31:P$80))</f>
        <v>#N/A</v>
      </c>
      <c r="S35" s="6" t="e">
        <f>IF(S$2&gt;$B$1,NA(),SUMIF(入力!$B$31:$B$80,集計!$G35,入力!Q$31:Q$80))</f>
        <v>#N/A</v>
      </c>
      <c r="T35" s="6">
        <f>SUM(H35:INDEX($H35:$S35,0,$B$1))</f>
        <v>61565</v>
      </c>
      <c r="V35" s="3">
        <f t="shared" si="7"/>
        <v>45</v>
      </c>
    </row>
    <row r="36" spans="1:22" x14ac:dyDescent="0.35">
      <c r="A36" s="6">
        <f>RANK(D36,$D$28:$D$77)+COUNTIF($D$28:D36,D36)-1</f>
        <v>9</v>
      </c>
      <c r="B36" s="1" t="str" cm="1">
        <f t="array" ref="B36">IFERROR(INDEX(入力!$B:$B,$V36),"")</f>
        <v>交通費</v>
      </c>
      <c r="C36" s="1" t="str">
        <f t="shared" si="5"/>
        <v/>
      </c>
      <c r="D36" s="6">
        <f>SUMIF(入力!$B$31:$B$80,$B36,INDEX(入力!$F$31:$Q$80,0,$B$1))</f>
        <v>5982</v>
      </c>
      <c r="E36" s="3">
        <f>IF(COUNTIF(入力!$B$31:'入力'!B39,入力!B39)=1,ROW(入力!B39),"")</f>
        <v>39</v>
      </c>
      <c r="F36" s="6">
        <f>RANK(T36,$T$28:$T$77)+COUNTIF($T$28:T36,T36)-1</f>
        <v>3</v>
      </c>
      <c r="G36" s="1" t="str">
        <f t="shared" si="6"/>
        <v>交通費</v>
      </c>
      <c r="H36" s="6">
        <f>IF(H$2&gt;$B$1,NA(),SUMIF(入力!$B$31:$B$80,集計!$G36,入力!F$31:F$80))</f>
        <v>8469</v>
      </c>
      <c r="I36" s="6">
        <f>IF(I$2&gt;$B$1,NA(),SUMIF(入力!$B$31:$B$80,集計!$G36,入力!G$31:G$80))</f>
        <v>3102</v>
      </c>
      <c r="J36" s="6">
        <f>IF(J$2&gt;$B$1,NA(),SUMIF(入力!$B$31:$B$80,集計!$G36,入力!H$31:H$80))</f>
        <v>2921</v>
      </c>
      <c r="K36" s="6">
        <f>IF(K$2&gt;$B$1,NA(),SUMIF(入力!$B$31:$B$80,集計!$G36,入力!I$31:I$80))</f>
        <v>7154</v>
      </c>
      <c r="L36" s="6">
        <f>IF(L$2&gt;$B$1,NA(),SUMIF(入力!$B$31:$B$80,集計!$G36,入力!J$31:J$80))</f>
        <v>100553</v>
      </c>
      <c r="M36" s="6">
        <f>IF(M$2&gt;$B$1,NA(),SUMIF(入力!$B$31:$B$80,集計!$G36,入力!K$31:K$80))</f>
        <v>4292</v>
      </c>
      <c r="N36" s="6">
        <f>IF(N$2&gt;$B$1,NA(),SUMIF(入力!$B$31:$B$80,集計!$G36,入力!L$31:L$80))</f>
        <v>5982</v>
      </c>
      <c r="O36" s="6" t="e">
        <f>IF(O$2&gt;$B$1,NA(),SUMIF(入力!$B$31:$B$80,集計!$G36,入力!M$31:M$80))</f>
        <v>#N/A</v>
      </c>
      <c r="P36" s="6" t="e">
        <f>IF(P$2&gt;$B$1,NA(),SUMIF(入力!$B$31:$B$80,集計!$G36,入力!N$31:N$80))</f>
        <v>#N/A</v>
      </c>
      <c r="Q36" s="6" t="e">
        <f>IF(Q$2&gt;$B$1,NA(),SUMIF(入力!$B$31:$B$80,集計!$G36,入力!O$31:O$80))</f>
        <v>#N/A</v>
      </c>
      <c r="R36" s="6" t="e">
        <f>IF(R$2&gt;$B$1,NA(),SUMIF(入力!$B$31:$B$80,集計!$G36,入力!P$31:P$80))</f>
        <v>#N/A</v>
      </c>
      <c r="S36" s="6" t="e">
        <f>IF(S$2&gt;$B$1,NA(),SUMIF(入力!$B$31:$B$80,集計!$G36,入力!Q$31:Q$80))</f>
        <v>#N/A</v>
      </c>
      <c r="T36" s="6">
        <f>SUM(H36:INDEX($H36:$S36,0,$B$1))</f>
        <v>132473</v>
      </c>
      <c r="V36" s="3">
        <f t="shared" si="7"/>
        <v>47</v>
      </c>
    </row>
    <row r="37" spans="1:22" x14ac:dyDescent="0.35">
      <c r="A37" s="6">
        <f>RANK(D37,$D$28:$D$77)+COUNTIF($D$28:D37,D37)-1</f>
        <v>10</v>
      </c>
      <c r="B37" s="1" t="str" cm="1">
        <f t="array" ref="B37">IFERROR(INDEX(入力!$B:$B,$V37),"")</f>
        <v>衣服・美容</v>
      </c>
      <c r="C37" s="1" t="str">
        <f t="shared" si="5"/>
        <v/>
      </c>
      <c r="D37" s="6">
        <f>SUMIF(入力!$B$31:$B$80,$B37,INDEX(入力!$F$31:$Q$80,0,$B$1))</f>
        <v>2100</v>
      </c>
      <c r="E37" s="3" t="str">
        <f>IF(COUNTIF(入力!$B$31:'入力'!B40,入力!B40)=1,ROW(入力!B40),"")</f>
        <v/>
      </c>
      <c r="F37" s="6">
        <f>RANK(T37,$T$28:$T$77)+COUNTIF($T$28:T37,T37)-1</f>
        <v>6</v>
      </c>
      <c r="G37" s="1" t="str">
        <f t="shared" si="6"/>
        <v>衣服・美容</v>
      </c>
      <c r="H37" s="6">
        <f>IF(H$2&gt;$B$1,NA(),SUMIF(入力!$B$31:$B$80,集計!$G37,入力!F$31:F$80))</f>
        <v>15400</v>
      </c>
      <c r="I37" s="6">
        <f>IF(I$2&gt;$B$1,NA(),SUMIF(入力!$B$31:$B$80,集計!$G37,入力!G$31:G$80))</f>
        <v>11900</v>
      </c>
      <c r="J37" s="6">
        <f>IF(J$2&gt;$B$1,NA(),SUMIF(入力!$B$31:$B$80,集計!$G37,入力!H$31:H$80))</f>
        <v>20100</v>
      </c>
      <c r="K37" s="6">
        <f>IF(K$2&gt;$B$1,NA(),SUMIF(入力!$B$31:$B$80,集計!$G37,入力!I$31:I$80))</f>
        <v>11900</v>
      </c>
      <c r="L37" s="6">
        <f>IF(L$2&gt;$B$1,NA(),SUMIF(入力!$B$31:$B$80,集計!$G37,入力!J$31:J$80))</f>
        <v>14200</v>
      </c>
      <c r="M37" s="6">
        <f>IF(M$2&gt;$B$1,NA(),SUMIF(入力!$B$31:$B$80,集計!$G37,入力!K$31:K$80))</f>
        <v>15700</v>
      </c>
      <c r="N37" s="6">
        <f>IF(N$2&gt;$B$1,NA(),SUMIF(入力!$B$31:$B$80,集計!$G37,入力!L$31:L$80))</f>
        <v>2100</v>
      </c>
      <c r="O37" s="6" t="e">
        <f>IF(O$2&gt;$B$1,NA(),SUMIF(入力!$B$31:$B$80,集計!$G37,入力!M$31:M$80))</f>
        <v>#N/A</v>
      </c>
      <c r="P37" s="6" t="e">
        <f>IF(P$2&gt;$B$1,NA(),SUMIF(入力!$B$31:$B$80,集計!$G37,入力!N$31:N$80))</f>
        <v>#N/A</v>
      </c>
      <c r="Q37" s="6" t="e">
        <f>IF(Q$2&gt;$B$1,NA(),SUMIF(入力!$B$31:$B$80,集計!$G37,入力!O$31:O$80))</f>
        <v>#N/A</v>
      </c>
      <c r="R37" s="6" t="e">
        <f>IF(R$2&gt;$B$1,NA(),SUMIF(入力!$B$31:$B$80,集計!$G37,入力!P$31:P$80))</f>
        <v>#N/A</v>
      </c>
      <c r="S37" s="6" t="e">
        <f>IF(S$2&gt;$B$1,NA(),SUMIF(入力!$B$31:$B$80,集計!$G37,入力!Q$31:Q$80))</f>
        <v>#N/A</v>
      </c>
      <c r="T37" s="6">
        <f>SUM(H37:INDEX($H37:$S37,0,$B$1))</f>
        <v>91300</v>
      </c>
      <c r="V37" s="3">
        <f t="shared" si="7"/>
        <v>50</v>
      </c>
    </row>
    <row r="38" spans="1:22" x14ac:dyDescent="0.35">
      <c r="A38" s="6">
        <f>RANK(D38,$D$28:$D$77)+COUNTIF($D$28:D38,D38)-1</f>
        <v>11</v>
      </c>
      <c r="B38" s="1" t="str" cm="1">
        <f t="array" ref="B38">IFERROR(INDEX(入力!$B:$B,$V38),"")</f>
        <v>健康・医療</v>
      </c>
      <c r="C38" s="1" t="str">
        <f t="shared" si="5"/>
        <v/>
      </c>
      <c r="D38" s="6">
        <f>SUMIF(入力!$B$31:$B$80,$B38,INDEX(入力!$F$31:$Q$80,0,$B$1))</f>
        <v>0</v>
      </c>
      <c r="E38" s="3">
        <f>IF(COUNTIF(入力!$B$31:'入力'!B41,入力!B41)=1,ROW(入力!B41),"")</f>
        <v>41</v>
      </c>
      <c r="F38" s="6">
        <f>RANK(T38,$T$28:$T$77)+COUNTIF($T$28:T38,T38)-1</f>
        <v>12</v>
      </c>
      <c r="G38" s="1" t="str">
        <f t="shared" si="6"/>
        <v>健康・医療</v>
      </c>
      <c r="H38" s="6">
        <f>IF(H$2&gt;$B$1,NA(),SUMIF(入力!$B$31:$B$80,集計!$G38,入力!F$31:F$80))</f>
        <v>5330</v>
      </c>
      <c r="I38" s="6">
        <f>IF(I$2&gt;$B$1,NA(),SUMIF(入力!$B$31:$B$80,集計!$G38,入力!G$31:G$80))</f>
        <v>0</v>
      </c>
      <c r="J38" s="6">
        <f>IF(J$2&gt;$B$1,NA(),SUMIF(入力!$B$31:$B$80,集計!$G38,入力!H$31:H$80))</f>
        <v>0</v>
      </c>
      <c r="K38" s="6">
        <f>IF(K$2&gt;$B$1,NA(),SUMIF(入力!$B$31:$B$80,集計!$G38,入力!I$31:I$80))</f>
        <v>0</v>
      </c>
      <c r="L38" s="6">
        <f>IF(L$2&gt;$B$1,NA(),SUMIF(入力!$B$31:$B$80,集計!$G38,入力!J$31:J$80))</f>
        <v>4950</v>
      </c>
      <c r="M38" s="6">
        <f>IF(M$2&gt;$B$1,NA(),SUMIF(入力!$B$31:$B$80,集計!$G38,入力!K$31:K$80))</f>
        <v>0</v>
      </c>
      <c r="N38" s="6">
        <f>IF(N$2&gt;$B$1,NA(),SUMIF(入力!$B$31:$B$80,集計!$G38,入力!L$31:L$80))</f>
        <v>0</v>
      </c>
      <c r="O38" s="6" t="e">
        <f>IF(O$2&gt;$B$1,NA(),SUMIF(入力!$B$31:$B$80,集計!$G38,入力!M$31:M$80))</f>
        <v>#N/A</v>
      </c>
      <c r="P38" s="6" t="e">
        <f>IF(P$2&gt;$B$1,NA(),SUMIF(入力!$B$31:$B$80,集計!$G38,入力!N$31:N$80))</f>
        <v>#N/A</v>
      </c>
      <c r="Q38" s="6" t="e">
        <f>IF(Q$2&gt;$B$1,NA(),SUMIF(入力!$B$31:$B$80,集計!$G38,入力!O$31:O$80))</f>
        <v>#N/A</v>
      </c>
      <c r="R38" s="6" t="e">
        <f>IF(R$2&gt;$B$1,NA(),SUMIF(入力!$B$31:$B$80,集計!$G38,入力!P$31:P$80))</f>
        <v>#N/A</v>
      </c>
      <c r="S38" s="6" t="e">
        <f>IF(S$2&gt;$B$1,NA(),SUMIF(入力!$B$31:$B$80,集計!$G38,入力!Q$31:Q$80))</f>
        <v>#N/A</v>
      </c>
      <c r="T38" s="6">
        <f>SUM(H38:INDEX($H38:$S38,0,$B$1))</f>
        <v>10280</v>
      </c>
      <c r="V38" s="3">
        <f t="shared" si="7"/>
        <v>53</v>
      </c>
    </row>
    <row r="39" spans="1:22" x14ac:dyDescent="0.35">
      <c r="A39" s="6">
        <f>RANK(D39,$D$28:$D$77)+COUNTIF($D$28:D39,D39)-1</f>
        <v>12</v>
      </c>
      <c r="B39" s="1" t="str" cm="1">
        <f t="array" ref="B39">IFERROR(INDEX(入力!$B:$B,$V39),"")</f>
        <v>特別費</v>
      </c>
      <c r="C39" s="1" t="str">
        <f t="shared" si="5"/>
        <v/>
      </c>
      <c r="D39" s="6">
        <f>SUMIF(入力!$B$31:$B$80,$B39,INDEX(入力!$F$31:$Q$80,0,$B$1))</f>
        <v>0</v>
      </c>
      <c r="E39" s="3" t="str">
        <f>IF(COUNTIF(入力!$B$31:'入力'!B42,入力!B42)=1,ROW(入力!B42),"")</f>
        <v/>
      </c>
      <c r="F39" s="6">
        <f>RANK(T39,$T$28:$T$77)+COUNTIF($T$28:T39,T39)-1</f>
        <v>8</v>
      </c>
      <c r="G39" s="1" t="str">
        <f t="shared" si="6"/>
        <v>特別費</v>
      </c>
      <c r="H39" s="6">
        <f>IF(H$2&gt;$B$1,NA(),SUMIF(入力!$B$31:$B$80,集計!$G39,入力!F$31:F$80))</f>
        <v>38000</v>
      </c>
      <c r="I39" s="6">
        <f>IF(I$2&gt;$B$1,NA(),SUMIF(入力!$B$31:$B$80,集計!$G39,入力!G$31:G$80))</f>
        <v>0</v>
      </c>
      <c r="J39" s="6">
        <f>IF(J$2&gt;$B$1,NA(),SUMIF(入力!$B$31:$B$80,集計!$G39,入力!H$31:H$80))</f>
        <v>0</v>
      </c>
      <c r="K39" s="6">
        <f>IF(K$2&gt;$B$1,NA(),SUMIF(入力!$B$31:$B$80,集計!$G39,入力!I$31:I$80))</f>
        <v>37000</v>
      </c>
      <c r="L39" s="6">
        <f>IF(L$2&gt;$B$1,NA(),SUMIF(入力!$B$31:$B$80,集計!$G39,入力!J$31:J$80))</f>
        <v>0</v>
      </c>
      <c r="M39" s="6">
        <f>IF(M$2&gt;$B$1,NA(),SUMIF(入力!$B$31:$B$80,集計!$G39,入力!K$31:K$80))</f>
        <v>0</v>
      </c>
      <c r="N39" s="6">
        <f>IF(N$2&gt;$B$1,NA(),SUMIF(入力!$B$31:$B$80,集計!$G39,入力!L$31:L$80))</f>
        <v>0</v>
      </c>
      <c r="O39" s="6" t="e">
        <f>IF(O$2&gt;$B$1,NA(),SUMIF(入力!$B$31:$B$80,集計!$G39,入力!M$31:M$80))</f>
        <v>#N/A</v>
      </c>
      <c r="P39" s="6" t="e">
        <f>IF(P$2&gt;$B$1,NA(),SUMIF(入力!$B$31:$B$80,集計!$G39,入力!N$31:N$80))</f>
        <v>#N/A</v>
      </c>
      <c r="Q39" s="6" t="e">
        <f>IF(Q$2&gt;$B$1,NA(),SUMIF(入力!$B$31:$B$80,集計!$G39,入力!O$31:O$80))</f>
        <v>#N/A</v>
      </c>
      <c r="R39" s="6" t="e">
        <f>IF(R$2&gt;$B$1,NA(),SUMIF(入力!$B$31:$B$80,集計!$G39,入力!P$31:P$80))</f>
        <v>#N/A</v>
      </c>
      <c r="S39" s="6" t="e">
        <f>IF(S$2&gt;$B$1,NA(),SUMIF(入力!$B$31:$B$80,集計!$G39,入力!Q$31:Q$80))</f>
        <v>#N/A</v>
      </c>
      <c r="T39" s="6">
        <f>SUM(H39:INDEX($H39:$S39,0,$B$1))</f>
        <v>75000</v>
      </c>
      <c r="V39" s="3">
        <f t="shared" si="7"/>
        <v>55</v>
      </c>
    </row>
    <row r="40" spans="1:22" x14ac:dyDescent="0.35">
      <c r="A40" s="6">
        <f>RANK(D40,$D$28:$D$77)+COUNTIF($D$28:D40,D40)-1</f>
        <v>13</v>
      </c>
      <c r="B40" s="1" t="str" cm="1">
        <f t="array" ref="B40">IFERROR(INDEX(入力!$B:$B,$V40),"")</f>
        <v>その他</v>
      </c>
      <c r="C40" s="1" t="str">
        <f t="shared" si="5"/>
        <v/>
      </c>
      <c r="D40" s="6">
        <f>SUMIF(入力!$B$31:$B$80,$B40,INDEX(入力!$F$31:$Q$80,0,$B$1))</f>
        <v>0</v>
      </c>
      <c r="E40" s="3">
        <f>IF(COUNTIF(入力!$B$31:'入力'!B43,入力!B43)=1,ROW(入力!B43),"")</f>
        <v>43</v>
      </c>
      <c r="F40" s="6">
        <f>RANK(T40,$T$28:$T$77)+COUNTIF($T$28:T40,T40)-1</f>
        <v>13</v>
      </c>
      <c r="G40" s="1" t="str">
        <f t="shared" si="6"/>
        <v>その他</v>
      </c>
      <c r="H40" s="6">
        <f>IF(H$2&gt;$B$1,NA(),SUMIF(入力!$B$31:$B$80,集計!$G40,入力!F$31:F$80))</f>
        <v>2000</v>
      </c>
      <c r="I40" s="6">
        <f>IF(I$2&gt;$B$1,NA(),SUMIF(入力!$B$31:$B$80,集計!$G40,入力!G$31:G$80))</f>
        <v>0</v>
      </c>
      <c r="J40" s="6">
        <f>IF(J$2&gt;$B$1,NA(),SUMIF(入力!$B$31:$B$80,集計!$G40,入力!H$31:H$80))</f>
        <v>0</v>
      </c>
      <c r="K40" s="6">
        <f>IF(K$2&gt;$B$1,NA(),SUMIF(入力!$B$31:$B$80,集計!$G40,入力!I$31:I$80))</f>
        <v>0</v>
      </c>
      <c r="L40" s="6">
        <f>IF(L$2&gt;$B$1,NA(),SUMIF(入力!$B$31:$B$80,集計!$G40,入力!J$31:J$80))</f>
        <v>0</v>
      </c>
      <c r="M40" s="6">
        <f>IF(M$2&gt;$B$1,NA(),SUMIF(入力!$B$31:$B$80,集計!$G40,入力!K$31:K$80))</f>
        <v>0</v>
      </c>
      <c r="N40" s="6">
        <f>IF(N$2&gt;$B$1,NA(),SUMIF(入力!$B$31:$B$80,集計!$G40,入力!L$31:L$80))</f>
        <v>0</v>
      </c>
      <c r="O40" s="6" t="e">
        <f>IF(O$2&gt;$B$1,NA(),SUMIF(入力!$B$31:$B$80,集計!$G40,入力!M$31:M$80))</f>
        <v>#N/A</v>
      </c>
      <c r="P40" s="6" t="e">
        <f>IF(P$2&gt;$B$1,NA(),SUMIF(入力!$B$31:$B$80,集計!$G40,入力!N$31:N$80))</f>
        <v>#N/A</v>
      </c>
      <c r="Q40" s="6" t="e">
        <f>IF(Q$2&gt;$B$1,NA(),SUMIF(入力!$B$31:$B$80,集計!$G40,入力!O$31:O$80))</f>
        <v>#N/A</v>
      </c>
      <c r="R40" s="6" t="e">
        <f>IF(R$2&gt;$B$1,NA(),SUMIF(入力!$B$31:$B$80,集計!$G40,入力!P$31:P$80))</f>
        <v>#N/A</v>
      </c>
      <c r="S40" s="6" t="e">
        <f>IF(S$2&gt;$B$1,NA(),SUMIF(入力!$B$31:$B$80,集計!$G40,入力!Q$31:Q$80))</f>
        <v>#N/A</v>
      </c>
      <c r="T40" s="6">
        <f>SUM(H40:INDEX($H40:$S40,0,$B$1))</f>
        <v>2000</v>
      </c>
      <c r="V40" s="3">
        <f t="shared" si="7"/>
        <v>56</v>
      </c>
    </row>
    <row r="41" spans="1:22" x14ac:dyDescent="0.35">
      <c r="A41" s="6">
        <f>RANK(D41,$D$28:$D$77)+COUNTIF($D$28:D41,D41)-1</f>
        <v>14</v>
      </c>
      <c r="B41" s="1" t="str" cm="1">
        <f t="array" ref="B41">IFERROR(INDEX(入力!$B:$B,$V41),"")</f>
        <v/>
      </c>
      <c r="C41" s="1" t="str">
        <f t="shared" si="5"/>
        <v/>
      </c>
      <c r="D41" s="6">
        <f>SUMIF(入力!$B$31:$B$80,$B41,INDEX(入力!$F$31:$Q$80,0,$B$1))</f>
        <v>0</v>
      </c>
      <c r="E41" s="3" t="str">
        <f>IF(COUNTIF(入力!$B$31:'入力'!B44,入力!B44)=1,ROW(入力!B44),"")</f>
        <v/>
      </c>
      <c r="F41" s="6">
        <f>RANK(T41,$T$28:$T$77)+COUNTIF($T$28:T41,T41)-1</f>
        <v>14</v>
      </c>
      <c r="G41" s="1" t="str">
        <f t="shared" si="6"/>
        <v/>
      </c>
      <c r="H41" s="6">
        <f>IF(H$2&gt;$B$1,NA(),SUMIF(入力!$B$31:$B$80,集計!$G41,入力!F$31:F$80))</f>
        <v>0</v>
      </c>
      <c r="I41" s="6">
        <f>IF(I$2&gt;$B$1,NA(),SUMIF(入力!$B$31:$B$80,集計!$G41,入力!G$31:G$80))</f>
        <v>0</v>
      </c>
      <c r="J41" s="6">
        <f>IF(J$2&gt;$B$1,NA(),SUMIF(入力!$B$31:$B$80,集計!$G41,入力!H$31:H$80))</f>
        <v>0</v>
      </c>
      <c r="K41" s="6">
        <f>IF(K$2&gt;$B$1,NA(),SUMIF(入力!$B$31:$B$80,集計!$G41,入力!I$31:I$80))</f>
        <v>0</v>
      </c>
      <c r="L41" s="6">
        <f>IF(L$2&gt;$B$1,NA(),SUMIF(入力!$B$31:$B$80,集計!$G41,入力!J$31:J$80))</f>
        <v>0</v>
      </c>
      <c r="M41" s="6">
        <f>IF(M$2&gt;$B$1,NA(),SUMIF(入力!$B$31:$B$80,集計!$G41,入力!K$31:K$80))</f>
        <v>0</v>
      </c>
      <c r="N41" s="6">
        <f>IF(N$2&gt;$B$1,NA(),SUMIF(入力!$B$31:$B$80,集計!$G41,入力!L$31:L$80))</f>
        <v>0</v>
      </c>
      <c r="O41" s="6" t="e">
        <f>IF(O$2&gt;$B$1,NA(),SUMIF(入力!$B$31:$B$80,集計!$G41,入力!M$31:M$80))</f>
        <v>#N/A</v>
      </c>
      <c r="P41" s="6" t="e">
        <f>IF(P$2&gt;$B$1,NA(),SUMIF(入力!$B$31:$B$80,集計!$G41,入力!N$31:N$80))</f>
        <v>#N/A</v>
      </c>
      <c r="Q41" s="6" t="e">
        <f>IF(Q$2&gt;$B$1,NA(),SUMIF(入力!$B$31:$B$80,集計!$G41,入力!O$31:O$80))</f>
        <v>#N/A</v>
      </c>
      <c r="R41" s="6" t="e">
        <f>IF(R$2&gt;$B$1,NA(),SUMIF(入力!$B$31:$B$80,集計!$G41,入力!P$31:P$80))</f>
        <v>#N/A</v>
      </c>
      <c r="S41" s="6" t="e">
        <f>IF(S$2&gt;$B$1,NA(),SUMIF(入力!$B$31:$B$80,集計!$G41,入力!Q$31:Q$80))</f>
        <v>#N/A</v>
      </c>
      <c r="T41" s="6">
        <f>SUM(H41:INDEX($H41:$S41,0,$B$1))</f>
        <v>0</v>
      </c>
      <c r="V41" s="3" t="e">
        <f t="shared" si="7"/>
        <v>#NUM!</v>
      </c>
    </row>
    <row r="42" spans="1:22" x14ac:dyDescent="0.35">
      <c r="A42" s="6">
        <f>RANK(D42,$D$28:$D$77)+COUNTIF($D$28:D42,D42)-1</f>
        <v>15</v>
      </c>
      <c r="B42" s="1" t="str" cm="1">
        <f t="array" ref="B42">IFERROR(INDEX(入力!$B:$B,$V42),"")</f>
        <v/>
      </c>
      <c r="C42" s="1" t="str">
        <f t="shared" si="5"/>
        <v/>
      </c>
      <c r="D42" s="6">
        <f>SUMIF(入力!$B$31:$B$80,$B42,INDEX(入力!$F$31:$Q$80,0,$B$1))</f>
        <v>0</v>
      </c>
      <c r="E42" s="3">
        <f>IF(COUNTIF(入力!$B$31:'入力'!B45,入力!B45)=1,ROW(入力!B45),"")</f>
        <v>45</v>
      </c>
      <c r="F42" s="6">
        <f>RANK(T42,$T$28:$T$77)+COUNTIF($T$28:T42,T42)-1</f>
        <v>15</v>
      </c>
      <c r="G42" s="1" t="str">
        <f t="shared" si="6"/>
        <v/>
      </c>
      <c r="H42" s="6">
        <f>IF(H$2&gt;$B$1,NA(),SUMIF(入力!$B$31:$B$80,集計!$G42,入力!F$31:F$80))</f>
        <v>0</v>
      </c>
      <c r="I42" s="6">
        <f>IF(I$2&gt;$B$1,NA(),SUMIF(入力!$B$31:$B$80,集計!$G42,入力!G$31:G$80))</f>
        <v>0</v>
      </c>
      <c r="J42" s="6">
        <f>IF(J$2&gt;$B$1,NA(),SUMIF(入力!$B$31:$B$80,集計!$G42,入力!H$31:H$80))</f>
        <v>0</v>
      </c>
      <c r="K42" s="6">
        <f>IF(K$2&gt;$B$1,NA(),SUMIF(入力!$B$31:$B$80,集計!$G42,入力!I$31:I$80))</f>
        <v>0</v>
      </c>
      <c r="L42" s="6">
        <f>IF(L$2&gt;$B$1,NA(),SUMIF(入力!$B$31:$B$80,集計!$G42,入力!J$31:J$80))</f>
        <v>0</v>
      </c>
      <c r="M42" s="6">
        <f>IF(M$2&gt;$B$1,NA(),SUMIF(入力!$B$31:$B$80,集計!$G42,入力!K$31:K$80))</f>
        <v>0</v>
      </c>
      <c r="N42" s="6">
        <f>IF(N$2&gt;$B$1,NA(),SUMIF(入力!$B$31:$B$80,集計!$G42,入力!L$31:L$80))</f>
        <v>0</v>
      </c>
      <c r="O42" s="6" t="e">
        <f>IF(O$2&gt;$B$1,NA(),SUMIF(入力!$B$31:$B$80,集計!$G42,入力!M$31:M$80))</f>
        <v>#N/A</v>
      </c>
      <c r="P42" s="6" t="e">
        <f>IF(P$2&gt;$B$1,NA(),SUMIF(入力!$B$31:$B$80,集計!$G42,入力!N$31:N$80))</f>
        <v>#N/A</v>
      </c>
      <c r="Q42" s="6" t="e">
        <f>IF(Q$2&gt;$B$1,NA(),SUMIF(入力!$B$31:$B$80,集計!$G42,入力!O$31:O$80))</f>
        <v>#N/A</v>
      </c>
      <c r="R42" s="6" t="e">
        <f>IF(R$2&gt;$B$1,NA(),SUMIF(入力!$B$31:$B$80,集計!$G42,入力!P$31:P$80))</f>
        <v>#N/A</v>
      </c>
      <c r="S42" s="6" t="e">
        <f>IF(S$2&gt;$B$1,NA(),SUMIF(入力!$B$31:$B$80,集計!$G42,入力!Q$31:Q$80))</f>
        <v>#N/A</v>
      </c>
      <c r="T42" s="6">
        <f>SUM(H42:INDEX($H42:$S42,0,$B$1))</f>
        <v>0</v>
      </c>
      <c r="V42" s="3" t="e">
        <f t="shared" si="7"/>
        <v>#NUM!</v>
      </c>
    </row>
    <row r="43" spans="1:22" x14ac:dyDescent="0.35">
      <c r="A43" s="6">
        <f>RANK(D43,$D$28:$D$77)+COUNTIF($D$28:D43,D43)-1</f>
        <v>16</v>
      </c>
      <c r="B43" s="1" t="str" cm="1">
        <f t="array" ref="B43">IFERROR(INDEX(入力!$B:$B,$V43),"")</f>
        <v/>
      </c>
      <c r="C43" s="1" t="str">
        <f t="shared" si="5"/>
        <v/>
      </c>
      <c r="D43" s="6">
        <f>SUMIF(入力!$B$31:$B$80,$B43,INDEX(入力!$F$31:$Q$80,0,$B$1))</f>
        <v>0</v>
      </c>
      <c r="E43" s="3" t="str">
        <f>IF(COUNTIF(入力!$B$31:'入力'!B46,入力!B46)=1,ROW(入力!B46),"")</f>
        <v/>
      </c>
      <c r="F43" s="6">
        <f>RANK(T43,$T$28:$T$77)+COUNTIF($T$28:T43,T43)-1</f>
        <v>16</v>
      </c>
      <c r="G43" s="1" t="str">
        <f t="shared" si="6"/>
        <v/>
      </c>
      <c r="H43" s="6">
        <f>IF(H$2&gt;$B$1,NA(),SUMIF(入力!$B$31:$B$80,集計!$G43,入力!F$31:F$80))</f>
        <v>0</v>
      </c>
      <c r="I43" s="6">
        <f>IF(I$2&gt;$B$1,NA(),SUMIF(入力!$B$31:$B$80,集計!$G43,入力!G$31:G$80))</f>
        <v>0</v>
      </c>
      <c r="J43" s="6">
        <f>IF(J$2&gt;$B$1,NA(),SUMIF(入力!$B$31:$B$80,集計!$G43,入力!H$31:H$80))</f>
        <v>0</v>
      </c>
      <c r="K43" s="6">
        <f>IF(K$2&gt;$B$1,NA(),SUMIF(入力!$B$31:$B$80,集計!$G43,入力!I$31:I$80))</f>
        <v>0</v>
      </c>
      <c r="L43" s="6">
        <f>IF(L$2&gt;$B$1,NA(),SUMIF(入力!$B$31:$B$80,集計!$G43,入力!J$31:J$80))</f>
        <v>0</v>
      </c>
      <c r="M43" s="6">
        <f>IF(M$2&gt;$B$1,NA(),SUMIF(入力!$B$31:$B$80,集計!$G43,入力!K$31:K$80))</f>
        <v>0</v>
      </c>
      <c r="N43" s="6">
        <f>IF(N$2&gt;$B$1,NA(),SUMIF(入力!$B$31:$B$80,集計!$G43,入力!L$31:L$80))</f>
        <v>0</v>
      </c>
      <c r="O43" s="6" t="e">
        <f>IF(O$2&gt;$B$1,NA(),SUMIF(入力!$B$31:$B$80,集計!$G43,入力!M$31:M$80))</f>
        <v>#N/A</v>
      </c>
      <c r="P43" s="6" t="e">
        <f>IF(P$2&gt;$B$1,NA(),SUMIF(入力!$B$31:$B$80,集計!$G43,入力!N$31:N$80))</f>
        <v>#N/A</v>
      </c>
      <c r="Q43" s="6" t="e">
        <f>IF(Q$2&gt;$B$1,NA(),SUMIF(入力!$B$31:$B$80,集計!$G43,入力!O$31:O$80))</f>
        <v>#N/A</v>
      </c>
      <c r="R43" s="6" t="e">
        <f>IF(R$2&gt;$B$1,NA(),SUMIF(入力!$B$31:$B$80,集計!$G43,入力!P$31:P$80))</f>
        <v>#N/A</v>
      </c>
      <c r="S43" s="6" t="e">
        <f>IF(S$2&gt;$B$1,NA(),SUMIF(入力!$B$31:$B$80,集計!$G43,入力!Q$31:Q$80))</f>
        <v>#N/A</v>
      </c>
      <c r="T43" s="6">
        <f>SUM(H43:INDEX($H43:$S43,0,$B$1))</f>
        <v>0</v>
      </c>
      <c r="V43" s="3" t="e">
        <f t="shared" si="7"/>
        <v>#NUM!</v>
      </c>
    </row>
    <row r="44" spans="1:22" x14ac:dyDescent="0.35">
      <c r="A44" s="6">
        <f>RANK(D44,$D$28:$D$77)+COUNTIF($D$28:D44,D44)-1</f>
        <v>17</v>
      </c>
      <c r="B44" s="1" t="str" cm="1">
        <f t="array" ref="B44">IFERROR(INDEX(入力!$B:$B,$V44),"")</f>
        <v/>
      </c>
      <c r="C44" s="1" t="str">
        <f t="shared" si="5"/>
        <v/>
      </c>
      <c r="D44" s="6">
        <f>SUMIF(入力!$B$31:$B$80,$B44,INDEX(入力!$F$31:$Q$80,0,$B$1))</f>
        <v>0</v>
      </c>
      <c r="E44" s="3">
        <f>IF(COUNTIF(入力!$B$31:'入力'!B47,入力!B47)=1,ROW(入力!B47),"")</f>
        <v>47</v>
      </c>
      <c r="F44" s="6">
        <f>RANK(T44,$T$28:$T$77)+COUNTIF($T$28:T44,T44)-1</f>
        <v>17</v>
      </c>
      <c r="G44" s="1" t="str">
        <f t="shared" si="6"/>
        <v/>
      </c>
      <c r="H44" s="6">
        <f>IF(H$2&gt;$B$1,NA(),SUMIF(入力!$B$31:$B$80,集計!$G44,入力!F$31:F$80))</f>
        <v>0</v>
      </c>
      <c r="I44" s="6">
        <f>IF(I$2&gt;$B$1,NA(),SUMIF(入力!$B$31:$B$80,集計!$G44,入力!G$31:G$80))</f>
        <v>0</v>
      </c>
      <c r="J44" s="6">
        <f>IF(J$2&gt;$B$1,NA(),SUMIF(入力!$B$31:$B$80,集計!$G44,入力!H$31:H$80))</f>
        <v>0</v>
      </c>
      <c r="K44" s="6">
        <f>IF(K$2&gt;$B$1,NA(),SUMIF(入力!$B$31:$B$80,集計!$G44,入力!I$31:I$80))</f>
        <v>0</v>
      </c>
      <c r="L44" s="6">
        <f>IF(L$2&gt;$B$1,NA(),SUMIF(入力!$B$31:$B$80,集計!$G44,入力!J$31:J$80))</f>
        <v>0</v>
      </c>
      <c r="M44" s="6">
        <f>IF(M$2&gt;$B$1,NA(),SUMIF(入力!$B$31:$B$80,集計!$G44,入力!K$31:K$80))</f>
        <v>0</v>
      </c>
      <c r="N44" s="6">
        <f>IF(N$2&gt;$B$1,NA(),SUMIF(入力!$B$31:$B$80,集計!$G44,入力!L$31:L$80))</f>
        <v>0</v>
      </c>
      <c r="O44" s="6" t="e">
        <f>IF(O$2&gt;$B$1,NA(),SUMIF(入力!$B$31:$B$80,集計!$G44,入力!M$31:M$80))</f>
        <v>#N/A</v>
      </c>
      <c r="P44" s="6" t="e">
        <f>IF(P$2&gt;$B$1,NA(),SUMIF(入力!$B$31:$B$80,集計!$G44,入力!N$31:N$80))</f>
        <v>#N/A</v>
      </c>
      <c r="Q44" s="6" t="e">
        <f>IF(Q$2&gt;$B$1,NA(),SUMIF(入力!$B$31:$B$80,集計!$G44,入力!O$31:O$80))</f>
        <v>#N/A</v>
      </c>
      <c r="R44" s="6" t="e">
        <f>IF(R$2&gt;$B$1,NA(),SUMIF(入力!$B$31:$B$80,集計!$G44,入力!P$31:P$80))</f>
        <v>#N/A</v>
      </c>
      <c r="S44" s="6" t="e">
        <f>IF(S$2&gt;$B$1,NA(),SUMIF(入力!$B$31:$B$80,集計!$G44,入力!Q$31:Q$80))</f>
        <v>#N/A</v>
      </c>
      <c r="T44" s="6">
        <f>SUM(H44:INDEX($H44:$S44,0,$B$1))</f>
        <v>0</v>
      </c>
      <c r="V44" s="3" t="e">
        <f t="shared" si="7"/>
        <v>#NUM!</v>
      </c>
    </row>
    <row r="45" spans="1:22" x14ac:dyDescent="0.35">
      <c r="A45" s="6">
        <f>RANK(D45,$D$28:$D$77)+COUNTIF($D$28:D45,D45)-1</f>
        <v>18</v>
      </c>
      <c r="B45" s="1" t="str" cm="1">
        <f t="array" ref="B45">IFERROR(INDEX(入力!$B:$B,$V45),"")</f>
        <v/>
      </c>
      <c r="C45" s="1" t="str">
        <f t="shared" si="5"/>
        <v/>
      </c>
      <c r="D45" s="6">
        <f>SUMIF(入力!$B$31:$B$80,$B45,INDEX(入力!$F$31:$Q$80,0,$B$1))</f>
        <v>0</v>
      </c>
      <c r="E45" s="3" t="str">
        <f>IF(COUNTIF(入力!$B$31:'入力'!B48,入力!B48)=1,ROW(入力!B48),"")</f>
        <v/>
      </c>
      <c r="F45" s="6">
        <f>RANK(T45,$T$28:$T$77)+COUNTIF($T$28:T45,T45)-1</f>
        <v>18</v>
      </c>
      <c r="G45" s="1" t="str">
        <f t="shared" si="6"/>
        <v/>
      </c>
      <c r="H45" s="6">
        <f>IF(H$2&gt;$B$1,NA(),SUMIF(入力!$B$31:$B$80,集計!$G45,入力!F$31:F$80))</f>
        <v>0</v>
      </c>
      <c r="I45" s="6">
        <f>IF(I$2&gt;$B$1,NA(),SUMIF(入力!$B$31:$B$80,集計!$G45,入力!G$31:G$80))</f>
        <v>0</v>
      </c>
      <c r="J45" s="6">
        <f>IF(J$2&gt;$B$1,NA(),SUMIF(入力!$B$31:$B$80,集計!$G45,入力!H$31:H$80))</f>
        <v>0</v>
      </c>
      <c r="K45" s="6">
        <f>IF(K$2&gt;$B$1,NA(),SUMIF(入力!$B$31:$B$80,集計!$G45,入力!I$31:I$80))</f>
        <v>0</v>
      </c>
      <c r="L45" s="6">
        <f>IF(L$2&gt;$B$1,NA(),SUMIF(入力!$B$31:$B$80,集計!$G45,入力!J$31:J$80))</f>
        <v>0</v>
      </c>
      <c r="M45" s="6">
        <f>IF(M$2&gt;$B$1,NA(),SUMIF(入力!$B$31:$B$80,集計!$G45,入力!K$31:K$80))</f>
        <v>0</v>
      </c>
      <c r="N45" s="6">
        <f>IF(N$2&gt;$B$1,NA(),SUMIF(入力!$B$31:$B$80,集計!$G45,入力!L$31:L$80))</f>
        <v>0</v>
      </c>
      <c r="O45" s="6" t="e">
        <f>IF(O$2&gt;$B$1,NA(),SUMIF(入力!$B$31:$B$80,集計!$G45,入力!M$31:M$80))</f>
        <v>#N/A</v>
      </c>
      <c r="P45" s="6" t="e">
        <f>IF(P$2&gt;$B$1,NA(),SUMIF(入力!$B$31:$B$80,集計!$G45,入力!N$31:N$80))</f>
        <v>#N/A</v>
      </c>
      <c r="Q45" s="6" t="e">
        <f>IF(Q$2&gt;$B$1,NA(),SUMIF(入力!$B$31:$B$80,集計!$G45,入力!O$31:O$80))</f>
        <v>#N/A</v>
      </c>
      <c r="R45" s="6" t="e">
        <f>IF(R$2&gt;$B$1,NA(),SUMIF(入力!$B$31:$B$80,集計!$G45,入力!P$31:P$80))</f>
        <v>#N/A</v>
      </c>
      <c r="S45" s="6" t="e">
        <f>IF(S$2&gt;$B$1,NA(),SUMIF(入力!$B$31:$B$80,集計!$G45,入力!Q$31:Q$80))</f>
        <v>#N/A</v>
      </c>
      <c r="T45" s="6">
        <f>SUM(H45:INDEX($H45:$S45,0,$B$1))</f>
        <v>0</v>
      </c>
      <c r="V45" s="3" t="e">
        <f t="shared" si="7"/>
        <v>#NUM!</v>
      </c>
    </row>
    <row r="46" spans="1:22" x14ac:dyDescent="0.35">
      <c r="A46" s="6">
        <f>RANK(D46,$D$28:$D$77)+COUNTIF($D$28:D46,D46)-1</f>
        <v>19</v>
      </c>
      <c r="B46" s="1" t="str" cm="1">
        <f t="array" ref="B46">IFERROR(INDEX(入力!$B:$B,$V46),"")</f>
        <v/>
      </c>
      <c r="C46" s="1" t="str">
        <f t="shared" si="5"/>
        <v/>
      </c>
      <c r="D46" s="6">
        <f>SUMIF(入力!$B$31:$B$80,$B46,INDEX(入力!$F$31:$Q$80,0,$B$1))</f>
        <v>0</v>
      </c>
      <c r="E46" s="3" t="str">
        <f>IF(COUNTIF(入力!$B$31:'入力'!B49,入力!B49)=1,ROW(入力!B49),"")</f>
        <v/>
      </c>
      <c r="F46" s="6">
        <f>RANK(T46,$T$28:$T$77)+COUNTIF($T$28:T46,T46)-1</f>
        <v>19</v>
      </c>
      <c r="G46" s="1" t="str">
        <f t="shared" si="6"/>
        <v/>
      </c>
      <c r="H46" s="6">
        <f>IF(H$2&gt;$B$1,NA(),SUMIF(入力!$B$31:$B$80,集計!$G46,入力!F$31:F$80))</f>
        <v>0</v>
      </c>
      <c r="I46" s="6">
        <f>IF(I$2&gt;$B$1,NA(),SUMIF(入力!$B$31:$B$80,集計!$G46,入力!G$31:G$80))</f>
        <v>0</v>
      </c>
      <c r="J46" s="6">
        <f>IF(J$2&gt;$B$1,NA(),SUMIF(入力!$B$31:$B$80,集計!$G46,入力!H$31:H$80))</f>
        <v>0</v>
      </c>
      <c r="K46" s="6">
        <f>IF(K$2&gt;$B$1,NA(),SUMIF(入力!$B$31:$B$80,集計!$G46,入力!I$31:I$80))</f>
        <v>0</v>
      </c>
      <c r="L46" s="6">
        <f>IF(L$2&gt;$B$1,NA(),SUMIF(入力!$B$31:$B$80,集計!$G46,入力!J$31:J$80))</f>
        <v>0</v>
      </c>
      <c r="M46" s="6">
        <f>IF(M$2&gt;$B$1,NA(),SUMIF(入力!$B$31:$B$80,集計!$G46,入力!K$31:K$80))</f>
        <v>0</v>
      </c>
      <c r="N46" s="6">
        <f>IF(N$2&gt;$B$1,NA(),SUMIF(入力!$B$31:$B$80,集計!$G46,入力!L$31:L$80))</f>
        <v>0</v>
      </c>
      <c r="O46" s="6" t="e">
        <f>IF(O$2&gt;$B$1,NA(),SUMIF(入力!$B$31:$B$80,集計!$G46,入力!M$31:M$80))</f>
        <v>#N/A</v>
      </c>
      <c r="P46" s="6" t="e">
        <f>IF(P$2&gt;$B$1,NA(),SUMIF(入力!$B$31:$B$80,集計!$G46,入力!N$31:N$80))</f>
        <v>#N/A</v>
      </c>
      <c r="Q46" s="6" t="e">
        <f>IF(Q$2&gt;$B$1,NA(),SUMIF(入力!$B$31:$B$80,集計!$G46,入力!O$31:O$80))</f>
        <v>#N/A</v>
      </c>
      <c r="R46" s="6" t="e">
        <f>IF(R$2&gt;$B$1,NA(),SUMIF(入力!$B$31:$B$80,集計!$G46,入力!P$31:P$80))</f>
        <v>#N/A</v>
      </c>
      <c r="S46" s="6" t="e">
        <f>IF(S$2&gt;$B$1,NA(),SUMIF(入力!$B$31:$B$80,集計!$G46,入力!Q$31:Q$80))</f>
        <v>#N/A</v>
      </c>
      <c r="T46" s="6">
        <f>SUM(H46:INDEX($H46:$S46,0,$B$1))</f>
        <v>0</v>
      </c>
      <c r="V46" s="3" t="e">
        <f t="shared" si="7"/>
        <v>#NUM!</v>
      </c>
    </row>
    <row r="47" spans="1:22" x14ac:dyDescent="0.35">
      <c r="A47" s="6">
        <f>RANK(D47,$D$28:$D$77)+COUNTIF($D$28:D47,D47)-1</f>
        <v>20</v>
      </c>
      <c r="B47" s="1" t="str" cm="1">
        <f t="array" ref="B47">IFERROR(INDEX(入力!$B:$B,$V47),"")</f>
        <v/>
      </c>
      <c r="C47" s="1" t="str">
        <f t="shared" si="5"/>
        <v/>
      </c>
      <c r="D47" s="6">
        <f>SUMIF(入力!$B$31:$B$80,$B47,INDEX(入力!$F$31:$Q$80,0,$B$1))</f>
        <v>0</v>
      </c>
      <c r="E47" s="3">
        <f>IF(COUNTIF(入力!$B$31:'入力'!B50,入力!B50)=1,ROW(入力!B50),"")</f>
        <v>50</v>
      </c>
      <c r="F47" s="6">
        <f>RANK(T47,$T$28:$T$77)+COUNTIF($T$28:T47,T47)-1</f>
        <v>20</v>
      </c>
      <c r="G47" s="1" t="str">
        <f t="shared" si="6"/>
        <v/>
      </c>
      <c r="H47" s="6">
        <f>IF(H$2&gt;$B$1,NA(),SUMIF(入力!$B$31:$B$80,集計!$G47,入力!F$31:F$80))</f>
        <v>0</v>
      </c>
      <c r="I47" s="6">
        <f>IF(I$2&gt;$B$1,NA(),SUMIF(入力!$B$31:$B$80,集計!$G47,入力!G$31:G$80))</f>
        <v>0</v>
      </c>
      <c r="J47" s="6">
        <f>IF(J$2&gt;$B$1,NA(),SUMIF(入力!$B$31:$B$80,集計!$G47,入力!H$31:H$80))</f>
        <v>0</v>
      </c>
      <c r="K47" s="6">
        <f>IF(K$2&gt;$B$1,NA(),SUMIF(入力!$B$31:$B$80,集計!$G47,入力!I$31:I$80))</f>
        <v>0</v>
      </c>
      <c r="L47" s="6">
        <f>IF(L$2&gt;$B$1,NA(),SUMIF(入力!$B$31:$B$80,集計!$G47,入力!J$31:J$80))</f>
        <v>0</v>
      </c>
      <c r="M47" s="6">
        <f>IF(M$2&gt;$B$1,NA(),SUMIF(入力!$B$31:$B$80,集計!$G47,入力!K$31:K$80))</f>
        <v>0</v>
      </c>
      <c r="N47" s="6">
        <f>IF(N$2&gt;$B$1,NA(),SUMIF(入力!$B$31:$B$80,集計!$G47,入力!L$31:L$80))</f>
        <v>0</v>
      </c>
      <c r="O47" s="6" t="e">
        <f>IF(O$2&gt;$B$1,NA(),SUMIF(入力!$B$31:$B$80,集計!$G47,入力!M$31:M$80))</f>
        <v>#N/A</v>
      </c>
      <c r="P47" s="6" t="e">
        <f>IF(P$2&gt;$B$1,NA(),SUMIF(入力!$B$31:$B$80,集計!$G47,入力!N$31:N$80))</f>
        <v>#N/A</v>
      </c>
      <c r="Q47" s="6" t="e">
        <f>IF(Q$2&gt;$B$1,NA(),SUMIF(入力!$B$31:$B$80,集計!$G47,入力!O$31:O$80))</f>
        <v>#N/A</v>
      </c>
      <c r="R47" s="6" t="e">
        <f>IF(R$2&gt;$B$1,NA(),SUMIF(入力!$B$31:$B$80,集計!$G47,入力!P$31:P$80))</f>
        <v>#N/A</v>
      </c>
      <c r="S47" s="6" t="e">
        <f>IF(S$2&gt;$B$1,NA(),SUMIF(入力!$B$31:$B$80,集計!$G47,入力!Q$31:Q$80))</f>
        <v>#N/A</v>
      </c>
      <c r="T47" s="6">
        <f>SUM(H47:INDEX($H47:$S47,0,$B$1))</f>
        <v>0</v>
      </c>
      <c r="V47" s="3" t="e">
        <f t="shared" si="7"/>
        <v>#NUM!</v>
      </c>
    </row>
    <row r="48" spans="1:22" x14ac:dyDescent="0.35">
      <c r="A48" s="6">
        <f>RANK(D48,$D$28:$D$77)+COUNTIF($D$28:D48,D48)-1</f>
        <v>21</v>
      </c>
      <c r="B48" s="1" t="str" cm="1">
        <f t="array" ref="B48">IFERROR(INDEX(入力!$B:$B,$V48),"")</f>
        <v/>
      </c>
      <c r="C48" s="1" t="str">
        <f t="shared" si="5"/>
        <v/>
      </c>
      <c r="D48" s="6">
        <f>SUMIF(入力!$B$31:$B$80,$B48,INDEX(入力!$F$31:$Q$80,0,$B$1))</f>
        <v>0</v>
      </c>
      <c r="E48" s="3" t="str">
        <f>IF(COUNTIF(入力!$B$31:'入力'!B51,入力!B51)=1,ROW(入力!B51),"")</f>
        <v/>
      </c>
      <c r="F48" s="6">
        <f>RANK(T48,$T$28:$T$77)+COUNTIF($T$28:T48,T48)-1</f>
        <v>21</v>
      </c>
      <c r="G48" s="1" t="str">
        <f t="shared" si="6"/>
        <v/>
      </c>
      <c r="H48" s="6">
        <f>IF(H$2&gt;$B$1,NA(),SUMIF(入力!$B$31:$B$80,集計!$G48,入力!F$31:F$80))</f>
        <v>0</v>
      </c>
      <c r="I48" s="6">
        <f>IF(I$2&gt;$B$1,NA(),SUMIF(入力!$B$31:$B$80,集計!$G48,入力!G$31:G$80))</f>
        <v>0</v>
      </c>
      <c r="J48" s="6">
        <f>IF(J$2&gt;$B$1,NA(),SUMIF(入力!$B$31:$B$80,集計!$G48,入力!H$31:H$80))</f>
        <v>0</v>
      </c>
      <c r="K48" s="6">
        <f>IF(K$2&gt;$B$1,NA(),SUMIF(入力!$B$31:$B$80,集計!$G48,入力!I$31:I$80))</f>
        <v>0</v>
      </c>
      <c r="L48" s="6">
        <f>IF(L$2&gt;$B$1,NA(),SUMIF(入力!$B$31:$B$80,集計!$G48,入力!J$31:J$80))</f>
        <v>0</v>
      </c>
      <c r="M48" s="6">
        <f>IF(M$2&gt;$B$1,NA(),SUMIF(入力!$B$31:$B$80,集計!$G48,入力!K$31:K$80))</f>
        <v>0</v>
      </c>
      <c r="N48" s="6">
        <f>IF(N$2&gt;$B$1,NA(),SUMIF(入力!$B$31:$B$80,集計!$G48,入力!L$31:L$80))</f>
        <v>0</v>
      </c>
      <c r="O48" s="6" t="e">
        <f>IF(O$2&gt;$B$1,NA(),SUMIF(入力!$B$31:$B$80,集計!$G48,入力!M$31:M$80))</f>
        <v>#N/A</v>
      </c>
      <c r="P48" s="6" t="e">
        <f>IF(P$2&gt;$B$1,NA(),SUMIF(入力!$B$31:$B$80,集計!$G48,入力!N$31:N$80))</f>
        <v>#N/A</v>
      </c>
      <c r="Q48" s="6" t="e">
        <f>IF(Q$2&gt;$B$1,NA(),SUMIF(入力!$B$31:$B$80,集計!$G48,入力!O$31:O$80))</f>
        <v>#N/A</v>
      </c>
      <c r="R48" s="6" t="e">
        <f>IF(R$2&gt;$B$1,NA(),SUMIF(入力!$B$31:$B$80,集計!$G48,入力!P$31:P$80))</f>
        <v>#N/A</v>
      </c>
      <c r="S48" s="6" t="e">
        <f>IF(S$2&gt;$B$1,NA(),SUMIF(入力!$B$31:$B$80,集計!$G48,入力!Q$31:Q$80))</f>
        <v>#N/A</v>
      </c>
      <c r="T48" s="6">
        <f>SUM(H48:INDEX($H48:$S48,0,$B$1))</f>
        <v>0</v>
      </c>
      <c r="V48" s="3" t="e">
        <f t="shared" si="7"/>
        <v>#NUM!</v>
      </c>
    </row>
    <row r="49" spans="1:22" x14ac:dyDescent="0.35">
      <c r="A49" s="6">
        <f>RANK(D49,$D$28:$D$77)+COUNTIF($D$28:D49,D49)-1</f>
        <v>22</v>
      </c>
      <c r="B49" s="1" t="str" cm="1">
        <f t="array" ref="B49">IFERROR(INDEX(入力!$B:$B,$V49),"")</f>
        <v/>
      </c>
      <c r="C49" s="1" t="str">
        <f t="shared" si="5"/>
        <v/>
      </c>
      <c r="D49" s="6">
        <f>SUMIF(入力!$B$31:$B$80,$B49,INDEX(入力!$F$31:$Q$80,0,$B$1))</f>
        <v>0</v>
      </c>
      <c r="E49" s="3" t="str">
        <f>IF(COUNTIF(入力!$B$31:'入力'!B52,入力!B52)=1,ROW(入力!B52),"")</f>
        <v/>
      </c>
      <c r="F49" s="6">
        <f>RANK(T49,$T$28:$T$77)+COUNTIF($T$28:T49,T49)-1</f>
        <v>22</v>
      </c>
      <c r="G49" s="1" t="str">
        <f t="shared" si="6"/>
        <v/>
      </c>
      <c r="H49" s="6">
        <f>IF(H$2&gt;$B$1,NA(),SUMIF(入力!$B$31:$B$80,集計!$G49,入力!F$31:F$80))</f>
        <v>0</v>
      </c>
      <c r="I49" s="6">
        <f>IF(I$2&gt;$B$1,NA(),SUMIF(入力!$B$31:$B$80,集計!$G49,入力!G$31:G$80))</f>
        <v>0</v>
      </c>
      <c r="J49" s="6">
        <f>IF(J$2&gt;$B$1,NA(),SUMIF(入力!$B$31:$B$80,集計!$G49,入力!H$31:H$80))</f>
        <v>0</v>
      </c>
      <c r="K49" s="6">
        <f>IF(K$2&gt;$B$1,NA(),SUMIF(入力!$B$31:$B$80,集計!$G49,入力!I$31:I$80))</f>
        <v>0</v>
      </c>
      <c r="L49" s="6">
        <f>IF(L$2&gt;$B$1,NA(),SUMIF(入力!$B$31:$B$80,集計!$G49,入力!J$31:J$80))</f>
        <v>0</v>
      </c>
      <c r="M49" s="6">
        <f>IF(M$2&gt;$B$1,NA(),SUMIF(入力!$B$31:$B$80,集計!$G49,入力!K$31:K$80))</f>
        <v>0</v>
      </c>
      <c r="N49" s="6">
        <f>IF(N$2&gt;$B$1,NA(),SUMIF(入力!$B$31:$B$80,集計!$G49,入力!L$31:L$80))</f>
        <v>0</v>
      </c>
      <c r="O49" s="6" t="e">
        <f>IF(O$2&gt;$B$1,NA(),SUMIF(入力!$B$31:$B$80,集計!$G49,入力!M$31:M$80))</f>
        <v>#N/A</v>
      </c>
      <c r="P49" s="6" t="e">
        <f>IF(P$2&gt;$B$1,NA(),SUMIF(入力!$B$31:$B$80,集計!$G49,入力!N$31:N$80))</f>
        <v>#N/A</v>
      </c>
      <c r="Q49" s="6" t="e">
        <f>IF(Q$2&gt;$B$1,NA(),SUMIF(入力!$B$31:$B$80,集計!$G49,入力!O$31:O$80))</f>
        <v>#N/A</v>
      </c>
      <c r="R49" s="6" t="e">
        <f>IF(R$2&gt;$B$1,NA(),SUMIF(入力!$B$31:$B$80,集計!$G49,入力!P$31:P$80))</f>
        <v>#N/A</v>
      </c>
      <c r="S49" s="6" t="e">
        <f>IF(S$2&gt;$B$1,NA(),SUMIF(入力!$B$31:$B$80,集計!$G49,入力!Q$31:Q$80))</f>
        <v>#N/A</v>
      </c>
      <c r="T49" s="6">
        <f>SUM(H49:INDEX($H49:$S49,0,$B$1))</f>
        <v>0</v>
      </c>
      <c r="V49" s="3" t="e">
        <f t="shared" si="7"/>
        <v>#NUM!</v>
      </c>
    </row>
    <row r="50" spans="1:22" x14ac:dyDescent="0.35">
      <c r="A50" s="6">
        <f>RANK(D50,$D$28:$D$77)+COUNTIF($D$28:D50,D50)-1</f>
        <v>23</v>
      </c>
      <c r="B50" s="1" t="str" cm="1">
        <f t="array" ref="B50">IFERROR(INDEX(入力!$B:$B,$V50),"")</f>
        <v/>
      </c>
      <c r="C50" s="1" t="str">
        <f t="shared" si="5"/>
        <v/>
      </c>
      <c r="D50" s="6">
        <f>SUMIF(入力!$B$31:$B$80,$B50,INDEX(入力!$F$31:$Q$80,0,$B$1))</f>
        <v>0</v>
      </c>
      <c r="E50" s="3">
        <f>IF(COUNTIF(入力!$B$31:'入力'!B53,入力!B53)=1,ROW(入力!B53),"")</f>
        <v>53</v>
      </c>
      <c r="F50" s="6">
        <f>RANK(T50,$T$28:$T$77)+COUNTIF($T$28:T50,T50)-1</f>
        <v>23</v>
      </c>
      <c r="G50" s="1" t="str">
        <f t="shared" si="6"/>
        <v/>
      </c>
      <c r="H50" s="6">
        <f>IF(H$2&gt;$B$1,NA(),SUMIF(入力!$B$31:$B$80,集計!$G50,入力!F$31:F$80))</f>
        <v>0</v>
      </c>
      <c r="I50" s="6">
        <f>IF(I$2&gt;$B$1,NA(),SUMIF(入力!$B$31:$B$80,集計!$G50,入力!G$31:G$80))</f>
        <v>0</v>
      </c>
      <c r="J50" s="6">
        <f>IF(J$2&gt;$B$1,NA(),SUMIF(入力!$B$31:$B$80,集計!$G50,入力!H$31:H$80))</f>
        <v>0</v>
      </c>
      <c r="K50" s="6">
        <f>IF(K$2&gt;$B$1,NA(),SUMIF(入力!$B$31:$B$80,集計!$G50,入力!I$31:I$80))</f>
        <v>0</v>
      </c>
      <c r="L50" s="6">
        <f>IF(L$2&gt;$B$1,NA(),SUMIF(入力!$B$31:$B$80,集計!$G50,入力!J$31:J$80))</f>
        <v>0</v>
      </c>
      <c r="M50" s="6">
        <f>IF(M$2&gt;$B$1,NA(),SUMIF(入力!$B$31:$B$80,集計!$G50,入力!K$31:K$80))</f>
        <v>0</v>
      </c>
      <c r="N50" s="6">
        <f>IF(N$2&gt;$B$1,NA(),SUMIF(入力!$B$31:$B$80,集計!$G50,入力!L$31:L$80))</f>
        <v>0</v>
      </c>
      <c r="O50" s="6" t="e">
        <f>IF(O$2&gt;$B$1,NA(),SUMIF(入力!$B$31:$B$80,集計!$G50,入力!M$31:M$80))</f>
        <v>#N/A</v>
      </c>
      <c r="P50" s="6" t="e">
        <f>IF(P$2&gt;$B$1,NA(),SUMIF(入力!$B$31:$B$80,集計!$G50,入力!N$31:N$80))</f>
        <v>#N/A</v>
      </c>
      <c r="Q50" s="6" t="e">
        <f>IF(Q$2&gt;$B$1,NA(),SUMIF(入力!$B$31:$B$80,集計!$G50,入力!O$31:O$80))</f>
        <v>#N/A</v>
      </c>
      <c r="R50" s="6" t="e">
        <f>IF(R$2&gt;$B$1,NA(),SUMIF(入力!$B$31:$B$80,集計!$G50,入力!P$31:P$80))</f>
        <v>#N/A</v>
      </c>
      <c r="S50" s="6" t="e">
        <f>IF(S$2&gt;$B$1,NA(),SUMIF(入力!$B$31:$B$80,集計!$G50,入力!Q$31:Q$80))</f>
        <v>#N/A</v>
      </c>
      <c r="T50" s="6">
        <f>SUM(H50:INDEX($H50:$S50,0,$B$1))</f>
        <v>0</v>
      </c>
      <c r="V50" s="3" t="e">
        <f t="shared" si="7"/>
        <v>#NUM!</v>
      </c>
    </row>
    <row r="51" spans="1:22" x14ac:dyDescent="0.35">
      <c r="A51" s="6">
        <f>RANK(D51,$D$28:$D$77)+COUNTIF($D$28:D51,D51)-1</f>
        <v>24</v>
      </c>
      <c r="B51" s="1" t="str" cm="1">
        <f t="array" ref="B51">IFERROR(INDEX(入力!$B:$B,$V51),"")</f>
        <v/>
      </c>
      <c r="C51" s="1" t="str">
        <f t="shared" si="5"/>
        <v/>
      </c>
      <c r="D51" s="6">
        <f>SUMIF(入力!$B$31:$B$80,$B51,INDEX(入力!$F$31:$Q$80,0,$B$1))</f>
        <v>0</v>
      </c>
      <c r="E51" s="3" t="str">
        <f>IF(COUNTIF(入力!$B$31:'入力'!B54,入力!B54)=1,ROW(入力!B54),"")</f>
        <v/>
      </c>
      <c r="F51" s="6">
        <f>RANK(T51,$T$28:$T$77)+COUNTIF($T$28:T51,T51)-1</f>
        <v>24</v>
      </c>
      <c r="G51" s="1" t="str">
        <f t="shared" si="6"/>
        <v/>
      </c>
      <c r="H51" s="6">
        <f>IF(H$2&gt;$B$1,NA(),SUMIF(入力!$B$31:$B$80,集計!$G51,入力!F$31:F$80))</f>
        <v>0</v>
      </c>
      <c r="I51" s="6">
        <f>IF(I$2&gt;$B$1,NA(),SUMIF(入力!$B$31:$B$80,集計!$G51,入力!G$31:G$80))</f>
        <v>0</v>
      </c>
      <c r="J51" s="6">
        <f>IF(J$2&gt;$B$1,NA(),SUMIF(入力!$B$31:$B$80,集計!$G51,入力!H$31:H$80))</f>
        <v>0</v>
      </c>
      <c r="K51" s="6">
        <f>IF(K$2&gt;$B$1,NA(),SUMIF(入力!$B$31:$B$80,集計!$G51,入力!I$31:I$80))</f>
        <v>0</v>
      </c>
      <c r="L51" s="6">
        <f>IF(L$2&gt;$B$1,NA(),SUMIF(入力!$B$31:$B$80,集計!$G51,入力!J$31:J$80))</f>
        <v>0</v>
      </c>
      <c r="M51" s="6">
        <f>IF(M$2&gt;$B$1,NA(),SUMIF(入力!$B$31:$B$80,集計!$G51,入力!K$31:K$80))</f>
        <v>0</v>
      </c>
      <c r="N51" s="6">
        <f>IF(N$2&gt;$B$1,NA(),SUMIF(入力!$B$31:$B$80,集計!$G51,入力!L$31:L$80))</f>
        <v>0</v>
      </c>
      <c r="O51" s="6" t="e">
        <f>IF(O$2&gt;$B$1,NA(),SUMIF(入力!$B$31:$B$80,集計!$G51,入力!M$31:M$80))</f>
        <v>#N/A</v>
      </c>
      <c r="P51" s="6" t="e">
        <f>IF(P$2&gt;$B$1,NA(),SUMIF(入力!$B$31:$B$80,集計!$G51,入力!N$31:N$80))</f>
        <v>#N/A</v>
      </c>
      <c r="Q51" s="6" t="e">
        <f>IF(Q$2&gt;$B$1,NA(),SUMIF(入力!$B$31:$B$80,集計!$G51,入力!O$31:O$80))</f>
        <v>#N/A</v>
      </c>
      <c r="R51" s="6" t="e">
        <f>IF(R$2&gt;$B$1,NA(),SUMIF(入力!$B$31:$B$80,集計!$G51,入力!P$31:P$80))</f>
        <v>#N/A</v>
      </c>
      <c r="S51" s="6" t="e">
        <f>IF(S$2&gt;$B$1,NA(),SUMIF(入力!$B$31:$B$80,集計!$G51,入力!Q$31:Q$80))</f>
        <v>#N/A</v>
      </c>
      <c r="T51" s="6">
        <f>SUM(H51:INDEX($H51:$S51,0,$B$1))</f>
        <v>0</v>
      </c>
      <c r="V51" s="3" t="e">
        <f t="shared" si="7"/>
        <v>#NUM!</v>
      </c>
    </row>
    <row r="52" spans="1:22" x14ac:dyDescent="0.35">
      <c r="A52" s="6">
        <f>RANK(D52,$D$28:$D$77)+COUNTIF($D$28:D52,D52)-1</f>
        <v>25</v>
      </c>
      <c r="B52" s="1" t="str" cm="1">
        <f t="array" ref="B52">IFERROR(INDEX(入力!$B:$B,$V52),"")</f>
        <v/>
      </c>
      <c r="C52" s="1" t="str">
        <f t="shared" si="5"/>
        <v/>
      </c>
      <c r="D52" s="6">
        <f>SUMIF(入力!$B$31:$B$80,$B52,INDEX(入力!$F$31:$Q$80,0,$B$1))</f>
        <v>0</v>
      </c>
      <c r="E52" s="3">
        <f>IF(COUNTIF(入力!$B$31:'入力'!B55,入力!B55)=1,ROW(入力!B55),"")</f>
        <v>55</v>
      </c>
      <c r="F52" s="6">
        <f>RANK(T52,$T$28:$T$77)+COUNTIF($T$28:T52,T52)-1</f>
        <v>25</v>
      </c>
      <c r="G52" s="1" t="str">
        <f t="shared" si="6"/>
        <v/>
      </c>
      <c r="H52" s="6">
        <f>IF(H$2&gt;$B$1,NA(),SUMIF(入力!$B$31:$B$80,集計!$G52,入力!F$31:F$80))</f>
        <v>0</v>
      </c>
      <c r="I52" s="6">
        <f>IF(I$2&gt;$B$1,NA(),SUMIF(入力!$B$31:$B$80,集計!$G52,入力!G$31:G$80))</f>
        <v>0</v>
      </c>
      <c r="J52" s="6">
        <f>IF(J$2&gt;$B$1,NA(),SUMIF(入力!$B$31:$B$80,集計!$G52,入力!H$31:H$80))</f>
        <v>0</v>
      </c>
      <c r="K52" s="6">
        <f>IF(K$2&gt;$B$1,NA(),SUMIF(入力!$B$31:$B$80,集計!$G52,入力!I$31:I$80))</f>
        <v>0</v>
      </c>
      <c r="L52" s="6">
        <f>IF(L$2&gt;$B$1,NA(),SUMIF(入力!$B$31:$B$80,集計!$G52,入力!J$31:J$80))</f>
        <v>0</v>
      </c>
      <c r="M52" s="6">
        <f>IF(M$2&gt;$B$1,NA(),SUMIF(入力!$B$31:$B$80,集計!$G52,入力!K$31:K$80))</f>
        <v>0</v>
      </c>
      <c r="N52" s="6">
        <f>IF(N$2&gt;$B$1,NA(),SUMIF(入力!$B$31:$B$80,集計!$G52,入力!L$31:L$80))</f>
        <v>0</v>
      </c>
      <c r="O52" s="6" t="e">
        <f>IF(O$2&gt;$B$1,NA(),SUMIF(入力!$B$31:$B$80,集計!$G52,入力!M$31:M$80))</f>
        <v>#N/A</v>
      </c>
      <c r="P52" s="6" t="e">
        <f>IF(P$2&gt;$B$1,NA(),SUMIF(入力!$B$31:$B$80,集計!$G52,入力!N$31:N$80))</f>
        <v>#N/A</v>
      </c>
      <c r="Q52" s="6" t="e">
        <f>IF(Q$2&gt;$B$1,NA(),SUMIF(入力!$B$31:$B$80,集計!$G52,入力!O$31:O$80))</f>
        <v>#N/A</v>
      </c>
      <c r="R52" s="6" t="e">
        <f>IF(R$2&gt;$B$1,NA(),SUMIF(入力!$B$31:$B$80,集計!$G52,入力!P$31:P$80))</f>
        <v>#N/A</v>
      </c>
      <c r="S52" s="6" t="e">
        <f>IF(S$2&gt;$B$1,NA(),SUMIF(入力!$B$31:$B$80,集計!$G52,入力!Q$31:Q$80))</f>
        <v>#N/A</v>
      </c>
      <c r="T52" s="6">
        <f>SUM(H52:INDEX($H52:$S52,0,$B$1))</f>
        <v>0</v>
      </c>
      <c r="V52" s="3" t="e">
        <f t="shared" si="7"/>
        <v>#NUM!</v>
      </c>
    </row>
    <row r="53" spans="1:22" x14ac:dyDescent="0.35">
      <c r="A53" s="6">
        <f>RANK(D53,$D$28:$D$77)+COUNTIF($D$28:D53,D53)-1</f>
        <v>26</v>
      </c>
      <c r="B53" s="1" t="str" cm="1">
        <f t="array" ref="B53">IFERROR(INDEX(入力!$B:$B,$V53),"")</f>
        <v/>
      </c>
      <c r="C53" s="1" t="str">
        <f t="shared" si="5"/>
        <v/>
      </c>
      <c r="D53" s="6">
        <f>SUMIF(入力!$B$31:$B$80,$B53,INDEX(入力!$F$31:$Q$80,0,$B$1))</f>
        <v>0</v>
      </c>
      <c r="E53" s="3">
        <f>IF(COUNTIF(入力!$B$31:'入力'!B56,入力!B56)=1,ROW(入力!B56),"")</f>
        <v>56</v>
      </c>
      <c r="F53" s="6">
        <f>RANK(T53,$T$28:$T$77)+COUNTIF($T$28:T53,T53)-1</f>
        <v>26</v>
      </c>
      <c r="G53" s="1" t="str">
        <f t="shared" si="6"/>
        <v/>
      </c>
      <c r="H53" s="6">
        <f>IF(H$2&gt;$B$1,NA(),SUMIF(入力!$B$31:$B$80,集計!$G53,入力!F$31:F$80))</f>
        <v>0</v>
      </c>
      <c r="I53" s="6">
        <f>IF(I$2&gt;$B$1,NA(),SUMIF(入力!$B$31:$B$80,集計!$G53,入力!G$31:G$80))</f>
        <v>0</v>
      </c>
      <c r="J53" s="6">
        <f>IF(J$2&gt;$B$1,NA(),SUMIF(入力!$B$31:$B$80,集計!$G53,入力!H$31:H$80))</f>
        <v>0</v>
      </c>
      <c r="K53" s="6">
        <f>IF(K$2&gt;$B$1,NA(),SUMIF(入力!$B$31:$B$80,集計!$G53,入力!I$31:I$80))</f>
        <v>0</v>
      </c>
      <c r="L53" s="6">
        <f>IF(L$2&gt;$B$1,NA(),SUMIF(入力!$B$31:$B$80,集計!$G53,入力!J$31:J$80))</f>
        <v>0</v>
      </c>
      <c r="M53" s="6">
        <f>IF(M$2&gt;$B$1,NA(),SUMIF(入力!$B$31:$B$80,集計!$G53,入力!K$31:K$80))</f>
        <v>0</v>
      </c>
      <c r="N53" s="6">
        <f>IF(N$2&gt;$B$1,NA(),SUMIF(入力!$B$31:$B$80,集計!$G53,入力!L$31:L$80))</f>
        <v>0</v>
      </c>
      <c r="O53" s="6" t="e">
        <f>IF(O$2&gt;$B$1,NA(),SUMIF(入力!$B$31:$B$80,集計!$G53,入力!M$31:M$80))</f>
        <v>#N/A</v>
      </c>
      <c r="P53" s="6" t="e">
        <f>IF(P$2&gt;$B$1,NA(),SUMIF(入力!$B$31:$B$80,集計!$G53,入力!N$31:N$80))</f>
        <v>#N/A</v>
      </c>
      <c r="Q53" s="6" t="e">
        <f>IF(Q$2&gt;$B$1,NA(),SUMIF(入力!$B$31:$B$80,集計!$G53,入力!O$31:O$80))</f>
        <v>#N/A</v>
      </c>
      <c r="R53" s="6" t="e">
        <f>IF(R$2&gt;$B$1,NA(),SUMIF(入力!$B$31:$B$80,集計!$G53,入力!P$31:P$80))</f>
        <v>#N/A</v>
      </c>
      <c r="S53" s="6" t="e">
        <f>IF(S$2&gt;$B$1,NA(),SUMIF(入力!$B$31:$B$80,集計!$G53,入力!Q$31:Q$80))</f>
        <v>#N/A</v>
      </c>
      <c r="T53" s="6">
        <f>SUM(H53:INDEX($H53:$S53,0,$B$1))</f>
        <v>0</v>
      </c>
      <c r="V53" s="3" t="e">
        <f t="shared" si="7"/>
        <v>#NUM!</v>
      </c>
    </row>
    <row r="54" spans="1:22" x14ac:dyDescent="0.35">
      <c r="A54" s="6">
        <f>RANK(D54,$D$28:$D$77)+COUNTIF($D$28:D54,D54)-1</f>
        <v>27</v>
      </c>
      <c r="B54" s="1" t="str" cm="1">
        <f t="array" ref="B54">IFERROR(INDEX(入力!$B:$B,$V54),"")</f>
        <v/>
      </c>
      <c r="C54" s="1" t="str">
        <f t="shared" si="5"/>
        <v/>
      </c>
      <c r="D54" s="6">
        <f>SUMIF(入力!$B$31:$B$80,$B54,INDEX(入力!$F$31:$Q$80,0,$B$1))</f>
        <v>0</v>
      </c>
      <c r="E54" s="3" t="str">
        <f>IF(COUNTIF(入力!$B$31:'入力'!B57,入力!B57)=1,ROW(入力!B57),"")</f>
        <v/>
      </c>
      <c r="F54" s="6">
        <f>RANK(T54,$T$28:$T$77)+COUNTIF($T$28:T54,T54)-1</f>
        <v>27</v>
      </c>
      <c r="G54" s="1" t="str">
        <f t="shared" si="6"/>
        <v/>
      </c>
      <c r="H54" s="6">
        <f>IF(H$2&gt;$B$1,NA(),SUMIF(入力!$B$31:$B$80,集計!$G54,入力!F$31:F$80))</f>
        <v>0</v>
      </c>
      <c r="I54" s="6">
        <f>IF(I$2&gt;$B$1,NA(),SUMIF(入力!$B$31:$B$80,集計!$G54,入力!G$31:G$80))</f>
        <v>0</v>
      </c>
      <c r="J54" s="6">
        <f>IF(J$2&gt;$B$1,NA(),SUMIF(入力!$B$31:$B$80,集計!$G54,入力!H$31:H$80))</f>
        <v>0</v>
      </c>
      <c r="K54" s="6">
        <f>IF(K$2&gt;$B$1,NA(),SUMIF(入力!$B$31:$B$80,集計!$G54,入力!I$31:I$80))</f>
        <v>0</v>
      </c>
      <c r="L54" s="6">
        <f>IF(L$2&gt;$B$1,NA(),SUMIF(入力!$B$31:$B$80,集計!$G54,入力!J$31:J$80))</f>
        <v>0</v>
      </c>
      <c r="M54" s="6">
        <f>IF(M$2&gt;$B$1,NA(),SUMIF(入力!$B$31:$B$80,集計!$G54,入力!K$31:K$80))</f>
        <v>0</v>
      </c>
      <c r="N54" s="6">
        <f>IF(N$2&gt;$B$1,NA(),SUMIF(入力!$B$31:$B$80,集計!$G54,入力!L$31:L$80))</f>
        <v>0</v>
      </c>
      <c r="O54" s="6" t="e">
        <f>IF(O$2&gt;$B$1,NA(),SUMIF(入力!$B$31:$B$80,集計!$G54,入力!M$31:M$80))</f>
        <v>#N/A</v>
      </c>
      <c r="P54" s="6" t="e">
        <f>IF(P$2&gt;$B$1,NA(),SUMIF(入力!$B$31:$B$80,集計!$G54,入力!N$31:N$80))</f>
        <v>#N/A</v>
      </c>
      <c r="Q54" s="6" t="e">
        <f>IF(Q$2&gt;$B$1,NA(),SUMIF(入力!$B$31:$B$80,集計!$G54,入力!O$31:O$80))</f>
        <v>#N/A</v>
      </c>
      <c r="R54" s="6" t="e">
        <f>IF(R$2&gt;$B$1,NA(),SUMIF(入力!$B$31:$B$80,集計!$G54,入力!P$31:P$80))</f>
        <v>#N/A</v>
      </c>
      <c r="S54" s="6" t="e">
        <f>IF(S$2&gt;$B$1,NA(),SUMIF(入力!$B$31:$B$80,集計!$G54,入力!Q$31:Q$80))</f>
        <v>#N/A</v>
      </c>
      <c r="T54" s="6">
        <f>SUM(H54:INDEX($H54:$S54,0,$B$1))</f>
        <v>0</v>
      </c>
      <c r="V54" s="3" t="e">
        <f t="shared" si="7"/>
        <v>#NUM!</v>
      </c>
    </row>
    <row r="55" spans="1:22" x14ac:dyDescent="0.35">
      <c r="A55" s="6">
        <f>RANK(D55,$D$28:$D$77)+COUNTIF($D$28:D55,D55)-1</f>
        <v>28</v>
      </c>
      <c r="B55" s="1" t="str" cm="1">
        <f t="array" ref="B55">IFERROR(INDEX(入力!$B:$B,$V55),"")</f>
        <v/>
      </c>
      <c r="C55" s="1" t="str">
        <f t="shared" si="5"/>
        <v/>
      </c>
      <c r="D55" s="6">
        <f>SUMIF(入力!$B$31:$B$80,$B55,INDEX(入力!$F$31:$Q$80,0,$B$1))</f>
        <v>0</v>
      </c>
      <c r="E55" s="3" t="str">
        <f>IF(COUNTIF(入力!$B$31:'入力'!B58,入力!B58)=1,ROW(入力!B58),"")</f>
        <v/>
      </c>
      <c r="F55" s="6">
        <f>RANK(T55,$T$28:$T$77)+COUNTIF($T$28:T55,T55)-1</f>
        <v>28</v>
      </c>
      <c r="G55" s="1" t="str">
        <f t="shared" si="6"/>
        <v/>
      </c>
      <c r="H55" s="6">
        <f>IF(H$2&gt;$B$1,NA(),SUMIF(入力!$B$31:$B$80,集計!$G55,入力!F$31:F$80))</f>
        <v>0</v>
      </c>
      <c r="I55" s="6">
        <f>IF(I$2&gt;$B$1,NA(),SUMIF(入力!$B$31:$B$80,集計!$G55,入力!G$31:G$80))</f>
        <v>0</v>
      </c>
      <c r="J55" s="6">
        <f>IF(J$2&gt;$B$1,NA(),SUMIF(入力!$B$31:$B$80,集計!$G55,入力!H$31:H$80))</f>
        <v>0</v>
      </c>
      <c r="K55" s="6">
        <f>IF(K$2&gt;$B$1,NA(),SUMIF(入力!$B$31:$B$80,集計!$G55,入力!I$31:I$80))</f>
        <v>0</v>
      </c>
      <c r="L55" s="6">
        <f>IF(L$2&gt;$B$1,NA(),SUMIF(入力!$B$31:$B$80,集計!$G55,入力!J$31:J$80))</f>
        <v>0</v>
      </c>
      <c r="M55" s="6">
        <f>IF(M$2&gt;$B$1,NA(),SUMIF(入力!$B$31:$B$80,集計!$G55,入力!K$31:K$80))</f>
        <v>0</v>
      </c>
      <c r="N55" s="6">
        <f>IF(N$2&gt;$B$1,NA(),SUMIF(入力!$B$31:$B$80,集計!$G55,入力!L$31:L$80))</f>
        <v>0</v>
      </c>
      <c r="O55" s="6" t="e">
        <f>IF(O$2&gt;$B$1,NA(),SUMIF(入力!$B$31:$B$80,集計!$G55,入力!M$31:M$80))</f>
        <v>#N/A</v>
      </c>
      <c r="P55" s="6" t="e">
        <f>IF(P$2&gt;$B$1,NA(),SUMIF(入力!$B$31:$B$80,集計!$G55,入力!N$31:N$80))</f>
        <v>#N/A</v>
      </c>
      <c r="Q55" s="6" t="e">
        <f>IF(Q$2&gt;$B$1,NA(),SUMIF(入力!$B$31:$B$80,集計!$G55,入力!O$31:O$80))</f>
        <v>#N/A</v>
      </c>
      <c r="R55" s="6" t="e">
        <f>IF(R$2&gt;$B$1,NA(),SUMIF(入力!$B$31:$B$80,集計!$G55,入力!P$31:P$80))</f>
        <v>#N/A</v>
      </c>
      <c r="S55" s="6" t="e">
        <f>IF(S$2&gt;$B$1,NA(),SUMIF(入力!$B$31:$B$80,集計!$G55,入力!Q$31:Q$80))</f>
        <v>#N/A</v>
      </c>
      <c r="T55" s="6">
        <f>SUM(H55:INDEX($H55:$S55,0,$B$1))</f>
        <v>0</v>
      </c>
      <c r="V55" s="3" t="e">
        <f t="shared" si="7"/>
        <v>#NUM!</v>
      </c>
    </row>
    <row r="56" spans="1:22" x14ac:dyDescent="0.35">
      <c r="A56" s="6">
        <f>RANK(D56,$D$28:$D$77)+COUNTIF($D$28:D56,D56)-1</f>
        <v>29</v>
      </c>
      <c r="B56" s="1" t="str" cm="1">
        <f t="array" ref="B56">IFERROR(INDEX(入力!$B:$B,$V56),"")</f>
        <v/>
      </c>
      <c r="C56" s="1" t="str">
        <f t="shared" si="5"/>
        <v/>
      </c>
      <c r="D56" s="6">
        <f>SUMIF(入力!$B$31:$B$80,$B56,INDEX(入力!$F$31:$Q$80,0,$B$1))</f>
        <v>0</v>
      </c>
      <c r="E56" s="3" t="str">
        <f>IF(COUNTIF(入力!$B$31:'入力'!B59,入力!B59)=1,ROW(入力!B59),"")</f>
        <v/>
      </c>
      <c r="F56" s="6">
        <f>RANK(T56,$T$28:$T$77)+COUNTIF($T$28:T56,T56)-1</f>
        <v>29</v>
      </c>
      <c r="G56" s="1" t="str">
        <f t="shared" si="6"/>
        <v/>
      </c>
      <c r="H56" s="6">
        <f>IF(H$2&gt;$B$1,NA(),SUMIF(入力!$B$31:$B$80,集計!$G56,入力!F$31:F$80))</f>
        <v>0</v>
      </c>
      <c r="I56" s="6">
        <f>IF(I$2&gt;$B$1,NA(),SUMIF(入力!$B$31:$B$80,集計!$G56,入力!G$31:G$80))</f>
        <v>0</v>
      </c>
      <c r="J56" s="6">
        <f>IF(J$2&gt;$B$1,NA(),SUMIF(入力!$B$31:$B$80,集計!$G56,入力!H$31:H$80))</f>
        <v>0</v>
      </c>
      <c r="K56" s="6">
        <f>IF(K$2&gt;$B$1,NA(),SUMIF(入力!$B$31:$B$80,集計!$G56,入力!I$31:I$80))</f>
        <v>0</v>
      </c>
      <c r="L56" s="6">
        <f>IF(L$2&gt;$B$1,NA(),SUMIF(入力!$B$31:$B$80,集計!$G56,入力!J$31:J$80))</f>
        <v>0</v>
      </c>
      <c r="M56" s="6">
        <f>IF(M$2&gt;$B$1,NA(),SUMIF(入力!$B$31:$B$80,集計!$G56,入力!K$31:K$80))</f>
        <v>0</v>
      </c>
      <c r="N56" s="6">
        <f>IF(N$2&gt;$B$1,NA(),SUMIF(入力!$B$31:$B$80,集計!$G56,入力!L$31:L$80))</f>
        <v>0</v>
      </c>
      <c r="O56" s="6" t="e">
        <f>IF(O$2&gt;$B$1,NA(),SUMIF(入力!$B$31:$B$80,集計!$G56,入力!M$31:M$80))</f>
        <v>#N/A</v>
      </c>
      <c r="P56" s="6" t="e">
        <f>IF(P$2&gt;$B$1,NA(),SUMIF(入力!$B$31:$B$80,集計!$G56,入力!N$31:N$80))</f>
        <v>#N/A</v>
      </c>
      <c r="Q56" s="6" t="e">
        <f>IF(Q$2&gt;$B$1,NA(),SUMIF(入力!$B$31:$B$80,集計!$G56,入力!O$31:O$80))</f>
        <v>#N/A</v>
      </c>
      <c r="R56" s="6" t="e">
        <f>IF(R$2&gt;$B$1,NA(),SUMIF(入力!$B$31:$B$80,集計!$G56,入力!P$31:P$80))</f>
        <v>#N/A</v>
      </c>
      <c r="S56" s="6" t="e">
        <f>IF(S$2&gt;$B$1,NA(),SUMIF(入力!$B$31:$B$80,集計!$G56,入力!Q$31:Q$80))</f>
        <v>#N/A</v>
      </c>
      <c r="T56" s="6">
        <f>SUM(H56:INDEX($H56:$S56,0,$B$1))</f>
        <v>0</v>
      </c>
      <c r="V56" s="3" t="e">
        <f t="shared" si="7"/>
        <v>#NUM!</v>
      </c>
    </row>
    <row r="57" spans="1:22" x14ac:dyDescent="0.35">
      <c r="A57" s="6">
        <f>RANK(D57,$D$28:$D$77)+COUNTIF($D$28:D57,D57)-1</f>
        <v>30</v>
      </c>
      <c r="B57" s="1" t="str" cm="1">
        <f t="array" ref="B57">IFERROR(INDEX(入力!$B:$B,$V57),"")</f>
        <v/>
      </c>
      <c r="C57" s="1" t="str">
        <f t="shared" si="5"/>
        <v/>
      </c>
      <c r="D57" s="6">
        <f>SUMIF(入力!$B$31:$B$80,$B57,INDEX(入力!$F$31:$Q$80,0,$B$1))</f>
        <v>0</v>
      </c>
      <c r="E57" s="3" t="str">
        <f>IF(COUNTIF(入力!$B$31:'入力'!B60,入力!B60)=1,ROW(入力!B60),"")</f>
        <v/>
      </c>
      <c r="F57" s="6">
        <f>RANK(T57,$T$28:$T$77)+COUNTIF($T$28:T57,T57)-1</f>
        <v>30</v>
      </c>
      <c r="G57" s="1" t="str">
        <f t="shared" si="6"/>
        <v/>
      </c>
      <c r="H57" s="6">
        <f>IF(H$2&gt;$B$1,NA(),SUMIF(入力!$B$31:$B$80,集計!$G57,入力!F$31:F$80))</f>
        <v>0</v>
      </c>
      <c r="I57" s="6">
        <f>IF(I$2&gt;$B$1,NA(),SUMIF(入力!$B$31:$B$80,集計!$G57,入力!G$31:G$80))</f>
        <v>0</v>
      </c>
      <c r="J57" s="6">
        <f>IF(J$2&gt;$B$1,NA(),SUMIF(入力!$B$31:$B$80,集計!$G57,入力!H$31:H$80))</f>
        <v>0</v>
      </c>
      <c r="K57" s="6">
        <f>IF(K$2&gt;$B$1,NA(),SUMIF(入力!$B$31:$B$80,集計!$G57,入力!I$31:I$80))</f>
        <v>0</v>
      </c>
      <c r="L57" s="6">
        <f>IF(L$2&gt;$B$1,NA(),SUMIF(入力!$B$31:$B$80,集計!$G57,入力!J$31:J$80))</f>
        <v>0</v>
      </c>
      <c r="M57" s="6">
        <f>IF(M$2&gt;$B$1,NA(),SUMIF(入力!$B$31:$B$80,集計!$G57,入力!K$31:K$80))</f>
        <v>0</v>
      </c>
      <c r="N57" s="6">
        <f>IF(N$2&gt;$B$1,NA(),SUMIF(入力!$B$31:$B$80,集計!$G57,入力!L$31:L$80))</f>
        <v>0</v>
      </c>
      <c r="O57" s="6" t="e">
        <f>IF(O$2&gt;$B$1,NA(),SUMIF(入力!$B$31:$B$80,集計!$G57,入力!M$31:M$80))</f>
        <v>#N/A</v>
      </c>
      <c r="P57" s="6" t="e">
        <f>IF(P$2&gt;$B$1,NA(),SUMIF(入力!$B$31:$B$80,集計!$G57,入力!N$31:N$80))</f>
        <v>#N/A</v>
      </c>
      <c r="Q57" s="6" t="e">
        <f>IF(Q$2&gt;$B$1,NA(),SUMIF(入力!$B$31:$B$80,集計!$G57,入力!O$31:O$80))</f>
        <v>#N/A</v>
      </c>
      <c r="R57" s="6" t="e">
        <f>IF(R$2&gt;$B$1,NA(),SUMIF(入力!$B$31:$B$80,集計!$G57,入力!P$31:P$80))</f>
        <v>#N/A</v>
      </c>
      <c r="S57" s="6" t="e">
        <f>IF(S$2&gt;$B$1,NA(),SUMIF(入力!$B$31:$B$80,集計!$G57,入力!Q$31:Q$80))</f>
        <v>#N/A</v>
      </c>
      <c r="T57" s="6">
        <f>SUM(H57:INDEX($H57:$S57,0,$B$1))</f>
        <v>0</v>
      </c>
      <c r="V57" s="3" t="e">
        <f t="shared" si="7"/>
        <v>#NUM!</v>
      </c>
    </row>
    <row r="58" spans="1:22" x14ac:dyDescent="0.35">
      <c r="A58" s="6">
        <f>RANK(D58,$D$28:$D$77)+COUNTIF($D$28:D58,D58)-1</f>
        <v>31</v>
      </c>
      <c r="B58" s="1" t="str" cm="1">
        <f t="array" ref="B58">IFERROR(INDEX(入力!$B:$B,$V58),"")</f>
        <v/>
      </c>
      <c r="C58" s="1" t="str">
        <f t="shared" si="5"/>
        <v/>
      </c>
      <c r="D58" s="6">
        <f>SUMIF(入力!$B$31:$B$80,$B58,INDEX(入力!$F$31:$Q$80,0,$B$1))</f>
        <v>0</v>
      </c>
      <c r="E58" s="3" t="str">
        <f>IF(COUNTIF(入力!$B$31:'入力'!B61,入力!B61)=1,ROW(入力!B61),"")</f>
        <v/>
      </c>
      <c r="F58" s="6">
        <f>RANK(T58,$T$28:$T$77)+COUNTIF($T$28:T58,T58)-1</f>
        <v>31</v>
      </c>
      <c r="G58" s="1" t="str">
        <f t="shared" si="6"/>
        <v/>
      </c>
      <c r="H58" s="6">
        <f>IF(H$2&gt;$B$1,NA(),SUMIF(入力!$B$31:$B$80,集計!$G58,入力!F$31:F$80))</f>
        <v>0</v>
      </c>
      <c r="I58" s="6">
        <f>IF(I$2&gt;$B$1,NA(),SUMIF(入力!$B$31:$B$80,集計!$G58,入力!G$31:G$80))</f>
        <v>0</v>
      </c>
      <c r="J58" s="6">
        <f>IF(J$2&gt;$B$1,NA(),SUMIF(入力!$B$31:$B$80,集計!$G58,入力!H$31:H$80))</f>
        <v>0</v>
      </c>
      <c r="K58" s="6">
        <f>IF(K$2&gt;$B$1,NA(),SUMIF(入力!$B$31:$B$80,集計!$G58,入力!I$31:I$80))</f>
        <v>0</v>
      </c>
      <c r="L58" s="6">
        <f>IF(L$2&gt;$B$1,NA(),SUMIF(入力!$B$31:$B$80,集計!$G58,入力!J$31:J$80))</f>
        <v>0</v>
      </c>
      <c r="M58" s="6">
        <f>IF(M$2&gt;$B$1,NA(),SUMIF(入力!$B$31:$B$80,集計!$G58,入力!K$31:K$80))</f>
        <v>0</v>
      </c>
      <c r="N58" s="6">
        <f>IF(N$2&gt;$B$1,NA(),SUMIF(入力!$B$31:$B$80,集計!$G58,入力!L$31:L$80))</f>
        <v>0</v>
      </c>
      <c r="O58" s="6" t="e">
        <f>IF(O$2&gt;$B$1,NA(),SUMIF(入力!$B$31:$B$80,集計!$G58,入力!M$31:M$80))</f>
        <v>#N/A</v>
      </c>
      <c r="P58" s="6" t="e">
        <f>IF(P$2&gt;$B$1,NA(),SUMIF(入力!$B$31:$B$80,集計!$G58,入力!N$31:N$80))</f>
        <v>#N/A</v>
      </c>
      <c r="Q58" s="6" t="e">
        <f>IF(Q$2&gt;$B$1,NA(),SUMIF(入力!$B$31:$B$80,集計!$G58,入力!O$31:O$80))</f>
        <v>#N/A</v>
      </c>
      <c r="R58" s="6" t="e">
        <f>IF(R$2&gt;$B$1,NA(),SUMIF(入力!$B$31:$B$80,集計!$G58,入力!P$31:P$80))</f>
        <v>#N/A</v>
      </c>
      <c r="S58" s="6" t="e">
        <f>IF(S$2&gt;$B$1,NA(),SUMIF(入力!$B$31:$B$80,集計!$G58,入力!Q$31:Q$80))</f>
        <v>#N/A</v>
      </c>
      <c r="T58" s="6">
        <f>SUM(H58:INDEX($H58:$S58,0,$B$1))</f>
        <v>0</v>
      </c>
      <c r="V58" s="3" t="e">
        <f t="shared" si="7"/>
        <v>#NUM!</v>
      </c>
    </row>
    <row r="59" spans="1:22" x14ac:dyDescent="0.35">
      <c r="A59" s="6">
        <f>RANK(D59,$D$28:$D$77)+COUNTIF($D$28:D59,D59)-1</f>
        <v>32</v>
      </c>
      <c r="B59" s="1" t="str" cm="1">
        <f t="array" ref="B59">IFERROR(INDEX(入力!$B:$B,$V59),"")</f>
        <v/>
      </c>
      <c r="C59" s="1" t="str">
        <f t="shared" si="5"/>
        <v/>
      </c>
      <c r="D59" s="6">
        <f>SUMIF(入力!$B$31:$B$80,$B59,INDEX(入力!$F$31:$Q$80,0,$B$1))</f>
        <v>0</v>
      </c>
      <c r="E59" s="3" t="str">
        <f>IF(COUNTIF(入力!$B$31:'入力'!B62,入力!B62)=1,ROW(入力!B62),"")</f>
        <v/>
      </c>
      <c r="F59" s="6">
        <f>RANK(T59,$T$28:$T$77)+COUNTIF($T$28:T59,T59)-1</f>
        <v>32</v>
      </c>
      <c r="G59" s="1" t="str">
        <f t="shared" si="6"/>
        <v/>
      </c>
      <c r="H59" s="6">
        <f>IF(H$2&gt;$B$1,NA(),SUMIF(入力!$B$31:$B$80,集計!$G59,入力!F$31:F$80))</f>
        <v>0</v>
      </c>
      <c r="I59" s="6">
        <f>IF(I$2&gt;$B$1,NA(),SUMIF(入力!$B$31:$B$80,集計!$G59,入力!G$31:G$80))</f>
        <v>0</v>
      </c>
      <c r="J59" s="6">
        <f>IF(J$2&gt;$B$1,NA(),SUMIF(入力!$B$31:$B$80,集計!$G59,入力!H$31:H$80))</f>
        <v>0</v>
      </c>
      <c r="K59" s="6">
        <f>IF(K$2&gt;$B$1,NA(),SUMIF(入力!$B$31:$B$80,集計!$G59,入力!I$31:I$80))</f>
        <v>0</v>
      </c>
      <c r="L59" s="6">
        <f>IF(L$2&gt;$B$1,NA(),SUMIF(入力!$B$31:$B$80,集計!$G59,入力!J$31:J$80))</f>
        <v>0</v>
      </c>
      <c r="M59" s="6">
        <f>IF(M$2&gt;$B$1,NA(),SUMIF(入力!$B$31:$B$80,集計!$G59,入力!K$31:K$80))</f>
        <v>0</v>
      </c>
      <c r="N59" s="6">
        <f>IF(N$2&gt;$B$1,NA(),SUMIF(入力!$B$31:$B$80,集計!$G59,入力!L$31:L$80))</f>
        <v>0</v>
      </c>
      <c r="O59" s="6" t="e">
        <f>IF(O$2&gt;$B$1,NA(),SUMIF(入力!$B$31:$B$80,集計!$G59,入力!M$31:M$80))</f>
        <v>#N/A</v>
      </c>
      <c r="P59" s="6" t="e">
        <f>IF(P$2&gt;$B$1,NA(),SUMIF(入力!$B$31:$B$80,集計!$G59,入力!N$31:N$80))</f>
        <v>#N/A</v>
      </c>
      <c r="Q59" s="6" t="e">
        <f>IF(Q$2&gt;$B$1,NA(),SUMIF(入力!$B$31:$B$80,集計!$G59,入力!O$31:O$80))</f>
        <v>#N/A</v>
      </c>
      <c r="R59" s="6" t="e">
        <f>IF(R$2&gt;$B$1,NA(),SUMIF(入力!$B$31:$B$80,集計!$G59,入力!P$31:P$80))</f>
        <v>#N/A</v>
      </c>
      <c r="S59" s="6" t="e">
        <f>IF(S$2&gt;$B$1,NA(),SUMIF(入力!$B$31:$B$80,集計!$G59,入力!Q$31:Q$80))</f>
        <v>#N/A</v>
      </c>
      <c r="T59" s="6">
        <f>SUM(H59:INDEX($H59:$S59,0,$B$1))</f>
        <v>0</v>
      </c>
      <c r="V59" s="3" t="e">
        <f t="shared" si="7"/>
        <v>#NUM!</v>
      </c>
    </row>
    <row r="60" spans="1:22" x14ac:dyDescent="0.35">
      <c r="A60" s="6">
        <f>RANK(D60,$D$28:$D$77)+COUNTIF($D$28:D60,D60)-1</f>
        <v>33</v>
      </c>
      <c r="B60" s="1" t="str" cm="1">
        <f t="array" ref="B60">IFERROR(INDEX(入力!$B:$B,$V60),"")</f>
        <v/>
      </c>
      <c r="C60" s="1" t="str">
        <f t="shared" si="5"/>
        <v/>
      </c>
      <c r="D60" s="6">
        <f>SUMIF(入力!$B$31:$B$80,$B60,INDEX(入力!$F$31:$Q$80,0,$B$1))</f>
        <v>0</v>
      </c>
      <c r="E60" s="3" t="str">
        <f>IF(COUNTIF(入力!$B$31:'入力'!B63,入力!B63)=1,ROW(入力!B63),"")</f>
        <v/>
      </c>
      <c r="F60" s="6">
        <f>RANK(T60,$T$28:$T$77)+COUNTIF($T$28:T60,T60)-1</f>
        <v>33</v>
      </c>
      <c r="G60" s="1" t="str">
        <f t="shared" si="6"/>
        <v/>
      </c>
      <c r="H60" s="6">
        <f>IF(H$2&gt;$B$1,NA(),SUMIF(入力!$B$31:$B$80,集計!$G60,入力!F$31:F$80))</f>
        <v>0</v>
      </c>
      <c r="I60" s="6">
        <f>IF(I$2&gt;$B$1,NA(),SUMIF(入力!$B$31:$B$80,集計!$G60,入力!G$31:G$80))</f>
        <v>0</v>
      </c>
      <c r="J60" s="6">
        <f>IF(J$2&gt;$B$1,NA(),SUMIF(入力!$B$31:$B$80,集計!$G60,入力!H$31:H$80))</f>
        <v>0</v>
      </c>
      <c r="K60" s="6">
        <f>IF(K$2&gt;$B$1,NA(),SUMIF(入力!$B$31:$B$80,集計!$G60,入力!I$31:I$80))</f>
        <v>0</v>
      </c>
      <c r="L60" s="6">
        <f>IF(L$2&gt;$B$1,NA(),SUMIF(入力!$B$31:$B$80,集計!$G60,入力!J$31:J$80))</f>
        <v>0</v>
      </c>
      <c r="M60" s="6">
        <f>IF(M$2&gt;$B$1,NA(),SUMIF(入力!$B$31:$B$80,集計!$G60,入力!K$31:K$80))</f>
        <v>0</v>
      </c>
      <c r="N60" s="6">
        <f>IF(N$2&gt;$B$1,NA(),SUMIF(入力!$B$31:$B$80,集計!$G60,入力!L$31:L$80))</f>
        <v>0</v>
      </c>
      <c r="O60" s="6" t="e">
        <f>IF(O$2&gt;$B$1,NA(),SUMIF(入力!$B$31:$B$80,集計!$G60,入力!M$31:M$80))</f>
        <v>#N/A</v>
      </c>
      <c r="P60" s="6" t="e">
        <f>IF(P$2&gt;$B$1,NA(),SUMIF(入力!$B$31:$B$80,集計!$G60,入力!N$31:N$80))</f>
        <v>#N/A</v>
      </c>
      <c r="Q60" s="6" t="e">
        <f>IF(Q$2&gt;$B$1,NA(),SUMIF(入力!$B$31:$B$80,集計!$G60,入力!O$31:O$80))</f>
        <v>#N/A</v>
      </c>
      <c r="R60" s="6" t="e">
        <f>IF(R$2&gt;$B$1,NA(),SUMIF(入力!$B$31:$B$80,集計!$G60,入力!P$31:P$80))</f>
        <v>#N/A</v>
      </c>
      <c r="S60" s="6" t="e">
        <f>IF(S$2&gt;$B$1,NA(),SUMIF(入力!$B$31:$B$80,集計!$G60,入力!Q$31:Q$80))</f>
        <v>#N/A</v>
      </c>
      <c r="T60" s="6">
        <f>SUM(H60:INDEX($H60:$S60,0,$B$1))</f>
        <v>0</v>
      </c>
      <c r="V60" s="3" t="e">
        <f t="shared" si="7"/>
        <v>#NUM!</v>
      </c>
    </row>
    <row r="61" spans="1:22" x14ac:dyDescent="0.35">
      <c r="A61" s="6">
        <f>RANK(D61,$D$28:$D$77)+COUNTIF($D$28:D61,D61)-1</f>
        <v>34</v>
      </c>
      <c r="B61" s="1" t="str" cm="1">
        <f t="array" ref="B61">IFERROR(INDEX(入力!$B:$B,$V61),"")</f>
        <v/>
      </c>
      <c r="C61" s="1" t="str">
        <f t="shared" si="5"/>
        <v/>
      </c>
      <c r="D61" s="6">
        <f>SUMIF(入力!$B$31:$B$80,$B61,INDEX(入力!$F$31:$Q$80,0,$B$1))</f>
        <v>0</v>
      </c>
      <c r="E61" s="3" t="str">
        <f>IF(COUNTIF(入力!$B$31:'入力'!B64,入力!B64)=1,ROW(入力!B64),"")</f>
        <v/>
      </c>
      <c r="F61" s="6">
        <f>RANK(T61,$T$28:$T$77)+COUNTIF($T$28:T61,T61)-1</f>
        <v>34</v>
      </c>
      <c r="G61" s="1" t="str">
        <f t="shared" si="6"/>
        <v/>
      </c>
      <c r="H61" s="6">
        <f>IF(H$2&gt;$B$1,NA(),SUMIF(入力!$B$31:$B$80,集計!$G61,入力!F$31:F$80))</f>
        <v>0</v>
      </c>
      <c r="I61" s="6">
        <f>IF(I$2&gt;$B$1,NA(),SUMIF(入力!$B$31:$B$80,集計!$G61,入力!G$31:G$80))</f>
        <v>0</v>
      </c>
      <c r="J61" s="6">
        <f>IF(J$2&gt;$B$1,NA(),SUMIF(入力!$B$31:$B$80,集計!$G61,入力!H$31:H$80))</f>
        <v>0</v>
      </c>
      <c r="K61" s="6">
        <f>IF(K$2&gt;$B$1,NA(),SUMIF(入力!$B$31:$B$80,集計!$G61,入力!I$31:I$80))</f>
        <v>0</v>
      </c>
      <c r="L61" s="6">
        <f>IF(L$2&gt;$B$1,NA(),SUMIF(入力!$B$31:$B$80,集計!$G61,入力!J$31:J$80))</f>
        <v>0</v>
      </c>
      <c r="M61" s="6">
        <f>IF(M$2&gt;$B$1,NA(),SUMIF(入力!$B$31:$B$80,集計!$G61,入力!K$31:K$80))</f>
        <v>0</v>
      </c>
      <c r="N61" s="6">
        <f>IF(N$2&gt;$B$1,NA(),SUMIF(入力!$B$31:$B$80,集計!$G61,入力!L$31:L$80))</f>
        <v>0</v>
      </c>
      <c r="O61" s="6" t="e">
        <f>IF(O$2&gt;$B$1,NA(),SUMIF(入力!$B$31:$B$80,集計!$G61,入力!M$31:M$80))</f>
        <v>#N/A</v>
      </c>
      <c r="P61" s="6" t="e">
        <f>IF(P$2&gt;$B$1,NA(),SUMIF(入力!$B$31:$B$80,集計!$G61,入力!N$31:N$80))</f>
        <v>#N/A</v>
      </c>
      <c r="Q61" s="6" t="e">
        <f>IF(Q$2&gt;$B$1,NA(),SUMIF(入力!$B$31:$B$80,集計!$G61,入力!O$31:O$80))</f>
        <v>#N/A</v>
      </c>
      <c r="R61" s="6" t="e">
        <f>IF(R$2&gt;$B$1,NA(),SUMIF(入力!$B$31:$B$80,集計!$G61,入力!P$31:P$80))</f>
        <v>#N/A</v>
      </c>
      <c r="S61" s="6" t="e">
        <f>IF(S$2&gt;$B$1,NA(),SUMIF(入力!$B$31:$B$80,集計!$G61,入力!Q$31:Q$80))</f>
        <v>#N/A</v>
      </c>
      <c r="T61" s="6">
        <f>SUM(H61:INDEX($H61:$S61,0,$B$1))</f>
        <v>0</v>
      </c>
      <c r="V61" s="3" t="e">
        <f t="shared" si="7"/>
        <v>#NUM!</v>
      </c>
    </row>
    <row r="62" spans="1:22" x14ac:dyDescent="0.35">
      <c r="A62" s="6">
        <f>RANK(D62,$D$28:$D$77)+COUNTIF($D$28:D62,D62)-1</f>
        <v>35</v>
      </c>
      <c r="B62" s="1" t="str" cm="1">
        <f t="array" ref="B62">IFERROR(INDEX(入力!$B:$B,$V62),"")</f>
        <v/>
      </c>
      <c r="C62" s="1" t="str">
        <f t="shared" si="5"/>
        <v/>
      </c>
      <c r="D62" s="6">
        <f>SUMIF(入力!$B$31:$B$80,$B62,INDEX(入力!$F$31:$Q$80,0,$B$1))</f>
        <v>0</v>
      </c>
      <c r="E62" s="3" t="str">
        <f>IF(COUNTIF(入力!$B$31:'入力'!B65,入力!B65)=1,ROW(入力!B65),"")</f>
        <v/>
      </c>
      <c r="F62" s="6">
        <f>RANK(T62,$T$28:$T$77)+COUNTIF($T$28:T62,T62)-1</f>
        <v>35</v>
      </c>
      <c r="G62" s="1" t="str">
        <f t="shared" si="6"/>
        <v/>
      </c>
      <c r="H62" s="6">
        <f>IF(H$2&gt;$B$1,NA(),SUMIF(入力!$B$31:$B$80,集計!$G62,入力!F$31:F$80))</f>
        <v>0</v>
      </c>
      <c r="I62" s="6">
        <f>IF(I$2&gt;$B$1,NA(),SUMIF(入力!$B$31:$B$80,集計!$G62,入力!G$31:G$80))</f>
        <v>0</v>
      </c>
      <c r="J62" s="6">
        <f>IF(J$2&gt;$B$1,NA(),SUMIF(入力!$B$31:$B$80,集計!$G62,入力!H$31:H$80))</f>
        <v>0</v>
      </c>
      <c r="K62" s="6">
        <f>IF(K$2&gt;$B$1,NA(),SUMIF(入力!$B$31:$B$80,集計!$G62,入力!I$31:I$80))</f>
        <v>0</v>
      </c>
      <c r="L62" s="6">
        <f>IF(L$2&gt;$B$1,NA(),SUMIF(入力!$B$31:$B$80,集計!$G62,入力!J$31:J$80))</f>
        <v>0</v>
      </c>
      <c r="M62" s="6">
        <f>IF(M$2&gt;$B$1,NA(),SUMIF(入力!$B$31:$B$80,集計!$G62,入力!K$31:K$80))</f>
        <v>0</v>
      </c>
      <c r="N62" s="6">
        <f>IF(N$2&gt;$B$1,NA(),SUMIF(入力!$B$31:$B$80,集計!$G62,入力!L$31:L$80))</f>
        <v>0</v>
      </c>
      <c r="O62" s="6" t="e">
        <f>IF(O$2&gt;$B$1,NA(),SUMIF(入力!$B$31:$B$80,集計!$G62,入力!M$31:M$80))</f>
        <v>#N/A</v>
      </c>
      <c r="P62" s="6" t="e">
        <f>IF(P$2&gt;$B$1,NA(),SUMIF(入力!$B$31:$B$80,集計!$G62,入力!N$31:N$80))</f>
        <v>#N/A</v>
      </c>
      <c r="Q62" s="6" t="e">
        <f>IF(Q$2&gt;$B$1,NA(),SUMIF(入力!$B$31:$B$80,集計!$G62,入力!O$31:O$80))</f>
        <v>#N/A</v>
      </c>
      <c r="R62" s="6" t="e">
        <f>IF(R$2&gt;$B$1,NA(),SUMIF(入力!$B$31:$B$80,集計!$G62,入力!P$31:P$80))</f>
        <v>#N/A</v>
      </c>
      <c r="S62" s="6" t="e">
        <f>IF(S$2&gt;$B$1,NA(),SUMIF(入力!$B$31:$B$80,集計!$G62,入力!Q$31:Q$80))</f>
        <v>#N/A</v>
      </c>
      <c r="T62" s="6">
        <f>SUM(H62:INDEX($H62:$S62,0,$B$1))</f>
        <v>0</v>
      </c>
      <c r="V62" s="3" t="e">
        <f t="shared" si="7"/>
        <v>#NUM!</v>
      </c>
    </row>
    <row r="63" spans="1:22" x14ac:dyDescent="0.35">
      <c r="A63" s="6">
        <f>RANK(D63,$D$28:$D$77)+COUNTIF($D$28:D63,D63)-1</f>
        <v>36</v>
      </c>
      <c r="B63" s="1" t="str" cm="1">
        <f t="array" ref="B63">IFERROR(INDEX(入力!$B:$B,$V63),"")</f>
        <v/>
      </c>
      <c r="C63" s="1" t="str">
        <f t="shared" si="5"/>
        <v/>
      </c>
      <c r="D63" s="6">
        <f>SUMIF(入力!$B$31:$B$80,$B63,INDEX(入力!$F$31:$Q$80,0,$B$1))</f>
        <v>0</v>
      </c>
      <c r="E63" s="3" t="str">
        <f>IF(COUNTIF(入力!$B$31:'入力'!B66,入力!B66)=1,ROW(入力!B66),"")</f>
        <v/>
      </c>
      <c r="F63" s="6">
        <f>RANK(T63,$T$28:$T$77)+COUNTIF($T$28:T63,T63)-1</f>
        <v>36</v>
      </c>
      <c r="G63" s="1" t="str">
        <f t="shared" si="6"/>
        <v/>
      </c>
      <c r="H63" s="6">
        <f>IF(H$2&gt;$B$1,NA(),SUMIF(入力!$B$31:$B$80,集計!$G63,入力!F$31:F$80))</f>
        <v>0</v>
      </c>
      <c r="I63" s="6">
        <f>IF(I$2&gt;$B$1,NA(),SUMIF(入力!$B$31:$B$80,集計!$G63,入力!G$31:G$80))</f>
        <v>0</v>
      </c>
      <c r="J63" s="6">
        <f>IF(J$2&gt;$B$1,NA(),SUMIF(入力!$B$31:$B$80,集計!$G63,入力!H$31:H$80))</f>
        <v>0</v>
      </c>
      <c r="K63" s="6">
        <f>IF(K$2&gt;$B$1,NA(),SUMIF(入力!$B$31:$B$80,集計!$G63,入力!I$31:I$80))</f>
        <v>0</v>
      </c>
      <c r="L63" s="6">
        <f>IF(L$2&gt;$B$1,NA(),SUMIF(入力!$B$31:$B$80,集計!$G63,入力!J$31:J$80))</f>
        <v>0</v>
      </c>
      <c r="M63" s="6">
        <f>IF(M$2&gt;$B$1,NA(),SUMIF(入力!$B$31:$B$80,集計!$G63,入力!K$31:K$80))</f>
        <v>0</v>
      </c>
      <c r="N63" s="6">
        <f>IF(N$2&gt;$B$1,NA(),SUMIF(入力!$B$31:$B$80,集計!$G63,入力!L$31:L$80))</f>
        <v>0</v>
      </c>
      <c r="O63" s="6" t="e">
        <f>IF(O$2&gt;$B$1,NA(),SUMIF(入力!$B$31:$B$80,集計!$G63,入力!M$31:M$80))</f>
        <v>#N/A</v>
      </c>
      <c r="P63" s="6" t="e">
        <f>IF(P$2&gt;$B$1,NA(),SUMIF(入力!$B$31:$B$80,集計!$G63,入力!N$31:N$80))</f>
        <v>#N/A</v>
      </c>
      <c r="Q63" s="6" t="e">
        <f>IF(Q$2&gt;$B$1,NA(),SUMIF(入力!$B$31:$B$80,集計!$G63,入力!O$31:O$80))</f>
        <v>#N/A</v>
      </c>
      <c r="R63" s="6" t="e">
        <f>IF(R$2&gt;$B$1,NA(),SUMIF(入力!$B$31:$B$80,集計!$G63,入力!P$31:P$80))</f>
        <v>#N/A</v>
      </c>
      <c r="S63" s="6" t="e">
        <f>IF(S$2&gt;$B$1,NA(),SUMIF(入力!$B$31:$B$80,集計!$G63,入力!Q$31:Q$80))</f>
        <v>#N/A</v>
      </c>
      <c r="T63" s="6">
        <f>SUM(H63:INDEX($H63:$S63,0,$B$1))</f>
        <v>0</v>
      </c>
      <c r="V63" s="3" t="e">
        <f t="shared" si="7"/>
        <v>#NUM!</v>
      </c>
    </row>
    <row r="64" spans="1:22" x14ac:dyDescent="0.35">
      <c r="A64" s="6">
        <f>RANK(D64,$D$28:$D$77)+COUNTIF($D$28:D64,D64)-1</f>
        <v>37</v>
      </c>
      <c r="B64" s="1" t="str" cm="1">
        <f t="array" ref="B64">IFERROR(INDEX(入力!$B:$B,$V64),"")</f>
        <v/>
      </c>
      <c r="C64" s="1" t="str">
        <f t="shared" si="5"/>
        <v/>
      </c>
      <c r="D64" s="6">
        <f>SUMIF(入力!$B$31:$B$80,$B64,INDEX(入力!$F$31:$Q$80,0,$B$1))</f>
        <v>0</v>
      </c>
      <c r="E64" s="3" t="str">
        <f>IF(COUNTIF(入力!$B$31:'入力'!B67,入力!B67)=1,ROW(入力!B67),"")</f>
        <v/>
      </c>
      <c r="F64" s="6">
        <f>RANK(T64,$T$28:$T$77)+COUNTIF($T$28:T64,T64)-1</f>
        <v>37</v>
      </c>
      <c r="G64" s="1" t="str">
        <f t="shared" si="6"/>
        <v/>
      </c>
      <c r="H64" s="6">
        <f>IF(H$2&gt;$B$1,NA(),SUMIF(入力!$B$31:$B$80,集計!$G64,入力!F$31:F$80))</f>
        <v>0</v>
      </c>
      <c r="I64" s="6">
        <f>IF(I$2&gt;$B$1,NA(),SUMIF(入力!$B$31:$B$80,集計!$G64,入力!G$31:G$80))</f>
        <v>0</v>
      </c>
      <c r="J64" s="6">
        <f>IF(J$2&gt;$B$1,NA(),SUMIF(入力!$B$31:$B$80,集計!$G64,入力!H$31:H$80))</f>
        <v>0</v>
      </c>
      <c r="K64" s="6">
        <f>IF(K$2&gt;$B$1,NA(),SUMIF(入力!$B$31:$B$80,集計!$G64,入力!I$31:I$80))</f>
        <v>0</v>
      </c>
      <c r="L64" s="6">
        <f>IF(L$2&gt;$B$1,NA(),SUMIF(入力!$B$31:$B$80,集計!$G64,入力!J$31:J$80))</f>
        <v>0</v>
      </c>
      <c r="M64" s="6">
        <f>IF(M$2&gt;$B$1,NA(),SUMIF(入力!$B$31:$B$80,集計!$G64,入力!K$31:K$80))</f>
        <v>0</v>
      </c>
      <c r="N64" s="6">
        <f>IF(N$2&gt;$B$1,NA(),SUMIF(入力!$B$31:$B$80,集計!$G64,入力!L$31:L$80))</f>
        <v>0</v>
      </c>
      <c r="O64" s="6" t="e">
        <f>IF(O$2&gt;$B$1,NA(),SUMIF(入力!$B$31:$B$80,集計!$G64,入力!M$31:M$80))</f>
        <v>#N/A</v>
      </c>
      <c r="P64" s="6" t="e">
        <f>IF(P$2&gt;$B$1,NA(),SUMIF(入力!$B$31:$B$80,集計!$G64,入力!N$31:N$80))</f>
        <v>#N/A</v>
      </c>
      <c r="Q64" s="6" t="e">
        <f>IF(Q$2&gt;$B$1,NA(),SUMIF(入力!$B$31:$B$80,集計!$G64,入力!O$31:O$80))</f>
        <v>#N/A</v>
      </c>
      <c r="R64" s="6" t="e">
        <f>IF(R$2&gt;$B$1,NA(),SUMIF(入力!$B$31:$B$80,集計!$G64,入力!P$31:P$80))</f>
        <v>#N/A</v>
      </c>
      <c r="S64" s="6" t="e">
        <f>IF(S$2&gt;$B$1,NA(),SUMIF(入力!$B$31:$B$80,集計!$G64,入力!Q$31:Q$80))</f>
        <v>#N/A</v>
      </c>
      <c r="T64" s="6">
        <f>SUM(H64:INDEX($H64:$S64,0,$B$1))</f>
        <v>0</v>
      </c>
      <c r="V64" s="3" t="e">
        <f t="shared" si="7"/>
        <v>#NUM!</v>
      </c>
    </row>
    <row r="65" spans="1:22" x14ac:dyDescent="0.35">
      <c r="A65" s="6">
        <f>RANK(D65,$D$28:$D$77)+COUNTIF($D$28:D65,D65)-1</f>
        <v>38</v>
      </c>
      <c r="B65" s="1" t="str" cm="1">
        <f t="array" ref="B65">IFERROR(INDEX(入力!$B:$B,$V65),"")</f>
        <v/>
      </c>
      <c r="C65" s="1" t="str">
        <f t="shared" si="5"/>
        <v/>
      </c>
      <c r="D65" s="6">
        <f>SUMIF(入力!$B$31:$B$80,$B65,INDEX(入力!$F$31:$Q$80,0,$B$1))</f>
        <v>0</v>
      </c>
      <c r="E65" s="3" t="str">
        <f>IF(COUNTIF(入力!$B$31:'入力'!B68,入力!B68)=1,ROW(入力!B68),"")</f>
        <v/>
      </c>
      <c r="F65" s="6">
        <f>RANK(T65,$T$28:$T$77)+COUNTIF($T$28:T65,T65)-1</f>
        <v>38</v>
      </c>
      <c r="G65" s="1" t="str">
        <f t="shared" si="6"/>
        <v/>
      </c>
      <c r="H65" s="6">
        <f>IF(H$2&gt;$B$1,NA(),SUMIF(入力!$B$31:$B$80,集計!$G65,入力!F$31:F$80))</f>
        <v>0</v>
      </c>
      <c r="I65" s="6">
        <f>IF(I$2&gt;$B$1,NA(),SUMIF(入力!$B$31:$B$80,集計!$G65,入力!G$31:G$80))</f>
        <v>0</v>
      </c>
      <c r="J65" s="6">
        <f>IF(J$2&gt;$B$1,NA(),SUMIF(入力!$B$31:$B$80,集計!$G65,入力!H$31:H$80))</f>
        <v>0</v>
      </c>
      <c r="K65" s="6">
        <f>IF(K$2&gt;$B$1,NA(),SUMIF(入力!$B$31:$B$80,集計!$G65,入力!I$31:I$80))</f>
        <v>0</v>
      </c>
      <c r="L65" s="6">
        <f>IF(L$2&gt;$B$1,NA(),SUMIF(入力!$B$31:$B$80,集計!$G65,入力!J$31:J$80))</f>
        <v>0</v>
      </c>
      <c r="M65" s="6">
        <f>IF(M$2&gt;$B$1,NA(),SUMIF(入力!$B$31:$B$80,集計!$G65,入力!K$31:K$80))</f>
        <v>0</v>
      </c>
      <c r="N65" s="6">
        <f>IF(N$2&gt;$B$1,NA(),SUMIF(入力!$B$31:$B$80,集計!$G65,入力!L$31:L$80))</f>
        <v>0</v>
      </c>
      <c r="O65" s="6" t="e">
        <f>IF(O$2&gt;$B$1,NA(),SUMIF(入力!$B$31:$B$80,集計!$G65,入力!M$31:M$80))</f>
        <v>#N/A</v>
      </c>
      <c r="P65" s="6" t="e">
        <f>IF(P$2&gt;$B$1,NA(),SUMIF(入力!$B$31:$B$80,集計!$G65,入力!N$31:N$80))</f>
        <v>#N/A</v>
      </c>
      <c r="Q65" s="6" t="e">
        <f>IF(Q$2&gt;$B$1,NA(),SUMIF(入力!$B$31:$B$80,集計!$G65,入力!O$31:O$80))</f>
        <v>#N/A</v>
      </c>
      <c r="R65" s="6" t="e">
        <f>IF(R$2&gt;$B$1,NA(),SUMIF(入力!$B$31:$B$80,集計!$G65,入力!P$31:P$80))</f>
        <v>#N/A</v>
      </c>
      <c r="S65" s="6" t="e">
        <f>IF(S$2&gt;$B$1,NA(),SUMIF(入力!$B$31:$B$80,集計!$G65,入力!Q$31:Q$80))</f>
        <v>#N/A</v>
      </c>
      <c r="T65" s="6">
        <f>SUM(H65:INDEX($H65:$S65,0,$B$1))</f>
        <v>0</v>
      </c>
      <c r="V65" s="3" t="e">
        <f t="shared" si="7"/>
        <v>#NUM!</v>
      </c>
    </row>
    <row r="66" spans="1:22" x14ac:dyDescent="0.35">
      <c r="A66" s="6">
        <f>RANK(D66,$D$28:$D$77)+COUNTIF($D$28:D66,D66)-1</f>
        <v>39</v>
      </c>
      <c r="B66" s="1" t="str" cm="1">
        <f t="array" ref="B66">IFERROR(INDEX(入力!$B:$B,$V66),"")</f>
        <v/>
      </c>
      <c r="C66" s="1" t="str">
        <f t="shared" si="5"/>
        <v/>
      </c>
      <c r="D66" s="6">
        <f>SUMIF(入力!$B$31:$B$80,$B66,INDEX(入力!$F$31:$Q$80,0,$B$1))</f>
        <v>0</v>
      </c>
      <c r="E66" s="3" t="str">
        <f>IF(COUNTIF(入力!$B$31:'入力'!B69,入力!B69)=1,ROW(入力!B69),"")</f>
        <v/>
      </c>
      <c r="F66" s="6">
        <f>RANK(T66,$T$28:$T$77)+COUNTIF($T$28:T66,T66)-1</f>
        <v>39</v>
      </c>
      <c r="G66" s="1" t="str">
        <f t="shared" si="6"/>
        <v/>
      </c>
      <c r="H66" s="6">
        <f>IF(H$2&gt;$B$1,NA(),SUMIF(入力!$B$31:$B$80,集計!$G66,入力!F$31:F$80))</f>
        <v>0</v>
      </c>
      <c r="I66" s="6">
        <f>IF(I$2&gt;$B$1,NA(),SUMIF(入力!$B$31:$B$80,集計!$G66,入力!G$31:G$80))</f>
        <v>0</v>
      </c>
      <c r="J66" s="6">
        <f>IF(J$2&gt;$B$1,NA(),SUMIF(入力!$B$31:$B$80,集計!$G66,入力!H$31:H$80))</f>
        <v>0</v>
      </c>
      <c r="K66" s="6">
        <f>IF(K$2&gt;$B$1,NA(),SUMIF(入力!$B$31:$B$80,集計!$G66,入力!I$31:I$80))</f>
        <v>0</v>
      </c>
      <c r="L66" s="6">
        <f>IF(L$2&gt;$B$1,NA(),SUMIF(入力!$B$31:$B$80,集計!$G66,入力!J$31:J$80))</f>
        <v>0</v>
      </c>
      <c r="M66" s="6">
        <f>IF(M$2&gt;$B$1,NA(),SUMIF(入力!$B$31:$B$80,集計!$G66,入力!K$31:K$80))</f>
        <v>0</v>
      </c>
      <c r="N66" s="6">
        <f>IF(N$2&gt;$B$1,NA(),SUMIF(入力!$B$31:$B$80,集計!$G66,入力!L$31:L$80))</f>
        <v>0</v>
      </c>
      <c r="O66" s="6" t="e">
        <f>IF(O$2&gt;$B$1,NA(),SUMIF(入力!$B$31:$B$80,集計!$G66,入力!M$31:M$80))</f>
        <v>#N/A</v>
      </c>
      <c r="P66" s="6" t="e">
        <f>IF(P$2&gt;$B$1,NA(),SUMIF(入力!$B$31:$B$80,集計!$G66,入力!N$31:N$80))</f>
        <v>#N/A</v>
      </c>
      <c r="Q66" s="6" t="e">
        <f>IF(Q$2&gt;$B$1,NA(),SUMIF(入力!$B$31:$B$80,集計!$G66,入力!O$31:O$80))</f>
        <v>#N/A</v>
      </c>
      <c r="R66" s="6" t="e">
        <f>IF(R$2&gt;$B$1,NA(),SUMIF(入力!$B$31:$B$80,集計!$G66,入力!P$31:P$80))</f>
        <v>#N/A</v>
      </c>
      <c r="S66" s="6" t="e">
        <f>IF(S$2&gt;$B$1,NA(),SUMIF(入力!$B$31:$B$80,集計!$G66,入力!Q$31:Q$80))</f>
        <v>#N/A</v>
      </c>
      <c r="T66" s="6">
        <f>SUM(H66:INDEX($H66:$S66,0,$B$1))</f>
        <v>0</v>
      </c>
      <c r="V66" s="3" t="e">
        <f t="shared" si="7"/>
        <v>#NUM!</v>
      </c>
    </row>
    <row r="67" spans="1:22" x14ac:dyDescent="0.35">
      <c r="A67" s="6">
        <f>RANK(D67,$D$28:$D$77)+COUNTIF($D$28:D67,D67)-1</f>
        <v>40</v>
      </c>
      <c r="B67" s="1" t="str" cm="1">
        <f t="array" ref="B67">IFERROR(INDEX(入力!$B:$B,$V67),"")</f>
        <v/>
      </c>
      <c r="C67" s="1" t="str">
        <f t="shared" si="5"/>
        <v/>
      </c>
      <c r="D67" s="6">
        <f>SUMIF(入力!$B$31:$B$80,$B67,INDEX(入力!$F$31:$Q$80,0,$B$1))</f>
        <v>0</v>
      </c>
      <c r="E67" s="3" t="str">
        <f>IF(COUNTIF(入力!$B$31:'入力'!B70,入力!B70)=1,ROW(入力!B70),"")</f>
        <v/>
      </c>
      <c r="F67" s="6">
        <f>RANK(T67,$T$28:$T$77)+COUNTIF($T$28:T67,T67)-1</f>
        <v>40</v>
      </c>
      <c r="G67" s="1" t="str">
        <f t="shared" si="6"/>
        <v/>
      </c>
      <c r="H67" s="6">
        <f>IF(H$2&gt;$B$1,NA(),SUMIF(入力!$B$31:$B$80,集計!$G67,入力!F$31:F$80))</f>
        <v>0</v>
      </c>
      <c r="I67" s="6">
        <f>IF(I$2&gt;$B$1,NA(),SUMIF(入力!$B$31:$B$80,集計!$G67,入力!G$31:G$80))</f>
        <v>0</v>
      </c>
      <c r="J67" s="6">
        <f>IF(J$2&gt;$B$1,NA(),SUMIF(入力!$B$31:$B$80,集計!$G67,入力!H$31:H$80))</f>
        <v>0</v>
      </c>
      <c r="K67" s="6">
        <f>IF(K$2&gt;$B$1,NA(),SUMIF(入力!$B$31:$B$80,集計!$G67,入力!I$31:I$80))</f>
        <v>0</v>
      </c>
      <c r="L67" s="6">
        <f>IF(L$2&gt;$B$1,NA(),SUMIF(入力!$B$31:$B$80,集計!$G67,入力!J$31:J$80))</f>
        <v>0</v>
      </c>
      <c r="M67" s="6">
        <f>IF(M$2&gt;$B$1,NA(),SUMIF(入力!$B$31:$B$80,集計!$G67,入力!K$31:K$80))</f>
        <v>0</v>
      </c>
      <c r="N67" s="6">
        <f>IF(N$2&gt;$B$1,NA(),SUMIF(入力!$B$31:$B$80,集計!$G67,入力!L$31:L$80))</f>
        <v>0</v>
      </c>
      <c r="O67" s="6" t="e">
        <f>IF(O$2&gt;$B$1,NA(),SUMIF(入力!$B$31:$B$80,集計!$G67,入力!M$31:M$80))</f>
        <v>#N/A</v>
      </c>
      <c r="P67" s="6" t="e">
        <f>IF(P$2&gt;$B$1,NA(),SUMIF(入力!$B$31:$B$80,集計!$G67,入力!N$31:N$80))</f>
        <v>#N/A</v>
      </c>
      <c r="Q67" s="6" t="e">
        <f>IF(Q$2&gt;$B$1,NA(),SUMIF(入力!$B$31:$B$80,集計!$G67,入力!O$31:O$80))</f>
        <v>#N/A</v>
      </c>
      <c r="R67" s="6" t="e">
        <f>IF(R$2&gt;$B$1,NA(),SUMIF(入力!$B$31:$B$80,集計!$G67,入力!P$31:P$80))</f>
        <v>#N/A</v>
      </c>
      <c r="S67" s="6" t="e">
        <f>IF(S$2&gt;$B$1,NA(),SUMIF(入力!$B$31:$B$80,集計!$G67,入力!Q$31:Q$80))</f>
        <v>#N/A</v>
      </c>
      <c r="T67" s="6">
        <f>SUM(H67:INDEX($H67:$S67,0,$B$1))</f>
        <v>0</v>
      </c>
      <c r="V67" s="3" t="e">
        <f t="shared" si="7"/>
        <v>#NUM!</v>
      </c>
    </row>
    <row r="68" spans="1:22" x14ac:dyDescent="0.35">
      <c r="A68" s="6">
        <f>RANK(D68,$D$28:$D$77)+COUNTIF($D$28:D68,D68)-1</f>
        <v>41</v>
      </c>
      <c r="B68" s="1" t="str" cm="1">
        <f t="array" ref="B68">IFERROR(INDEX(入力!$B:$B,$V68),"")</f>
        <v/>
      </c>
      <c r="C68" s="1" t="str">
        <f t="shared" si="5"/>
        <v/>
      </c>
      <c r="D68" s="6">
        <f>SUMIF(入力!$B$31:$B$80,$B68,INDEX(入力!$F$31:$Q$80,0,$B$1))</f>
        <v>0</v>
      </c>
      <c r="E68" s="3" t="str">
        <f>IF(COUNTIF(入力!$B$31:'入力'!B71,入力!B71)=1,ROW(入力!B71),"")</f>
        <v/>
      </c>
      <c r="F68" s="6">
        <f>RANK(T68,$T$28:$T$77)+COUNTIF($T$28:T68,T68)-1</f>
        <v>41</v>
      </c>
      <c r="G68" s="1" t="str">
        <f t="shared" si="6"/>
        <v/>
      </c>
      <c r="H68" s="6">
        <f>IF(H$2&gt;$B$1,NA(),SUMIF(入力!$B$31:$B$80,集計!$G68,入力!F$31:F$80))</f>
        <v>0</v>
      </c>
      <c r="I68" s="6">
        <f>IF(I$2&gt;$B$1,NA(),SUMIF(入力!$B$31:$B$80,集計!$G68,入力!G$31:G$80))</f>
        <v>0</v>
      </c>
      <c r="J68" s="6">
        <f>IF(J$2&gt;$B$1,NA(),SUMIF(入力!$B$31:$B$80,集計!$G68,入力!H$31:H$80))</f>
        <v>0</v>
      </c>
      <c r="K68" s="6">
        <f>IF(K$2&gt;$B$1,NA(),SUMIF(入力!$B$31:$B$80,集計!$G68,入力!I$31:I$80))</f>
        <v>0</v>
      </c>
      <c r="L68" s="6">
        <f>IF(L$2&gt;$B$1,NA(),SUMIF(入力!$B$31:$B$80,集計!$G68,入力!J$31:J$80))</f>
        <v>0</v>
      </c>
      <c r="M68" s="6">
        <f>IF(M$2&gt;$B$1,NA(),SUMIF(入力!$B$31:$B$80,集計!$G68,入力!K$31:K$80))</f>
        <v>0</v>
      </c>
      <c r="N68" s="6">
        <f>IF(N$2&gt;$B$1,NA(),SUMIF(入力!$B$31:$B$80,集計!$G68,入力!L$31:L$80))</f>
        <v>0</v>
      </c>
      <c r="O68" s="6" t="e">
        <f>IF(O$2&gt;$B$1,NA(),SUMIF(入力!$B$31:$B$80,集計!$G68,入力!M$31:M$80))</f>
        <v>#N/A</v>
      </c>
      <c r="P68" s="6" t="e">
        <f>IF(P$2&gt;$B$1,NA(),SUMIF(入力!$B$31:$B$80,集計!$G68,入力!N$31:N$80))</f>
        <v>#N/A</v>
      </c>
      <c r="Q68" s="6" t="e">
        <f>IF(Q$2&gt;$B$1,NA(),SUMIF(入力!$B$31:$B$80,集計!$G68,入力!O$31:O$80))</f>
        <v>#N/A</v>
      </c>
      <c r="R68" s="6" t="e">
        <f>IF(R$2&gt;$B$1,NA(),SUMIF(入力!$B$31:$B$80,集計!$G68,入力!P$31:P$80))</f>
        <v>#N/A</v>
      </c>
      <c r="S68" s="6" t="e">
        <f>IF(S$2&gt;$B$1,NA(),SUMIF(入力!$B$31:$B$80,集計!$G68,入力!Q$31:Q$80))</f>
        <v>#N/A</v>
      </c>
      <c r="T68" s="6">
        <f>SUM(H68:INDEX($H68:$S68,0,$B$1))</f>
        <v>0</v>
      </c>
      <c r="V68" s="3" t="e">
        <f t="shared" si="7"/>
        <v>#NUM!</v>
      </c>
    </row>
    <row r="69" spans="1:22" x14ac:dyDescent="0.35">
      <c r="A69" s="6">
        <f>RANK(D69,$D$28:$D$77)+COUNTIF($D$28:D69,D69)-1</f>
        <v>42</v>
      </c>
      <c r="B69" s="1" t="str" cm="1">
        <f t="array" ref="B69">IFERROR(INDEX(入力!$B:$B,$V69),"")</f>
        <v/>
      </c>
      <c r="C69" s="1" t="str">
        <f t="shared" si="5"/>
        <v/>
      </c>
      <c r="D69" s="6">
        <f>SUMIF(入力!$B$31:$B$80,$B69,INDEX(入力!$F$31:$Q$80,0,$B$1))</f>
        <v>0</v>
      </c>
      <c r="E69" s="3" t="str">
        <f>IF(COUNTIF(入力!$B$31:'入力'!B72,入力!B72)=1,ROW(入力!B72),"")</f>
        <v/>
      </c>
      <c r="F69" s="6">
        <f>RANK(T69,$T$28:$T$77)+COUNTIF($T$28:T69,T69)-1</f>
        <v>42</v>
      </c>
      <c r="G69" s="1" t="str">
        <f t="shared" si="6"/>
        <v/>
      </c>
      <c r="H69" s="6">
        <f>IF(H$2&gt;$B$1,NA(),SUMIF(入力!$B$31:$B$80,集計!$G69,入力!F$31:F$80))</f>
        <v>0</v>
      </c>
      <c r="I69" s="6">
        <f>IF(I$2&gt;$B$1,NA(),SUMIF(入力!$B$31:$B$80,集計!$G69,入力!G$31:G$80))</f>
        <v>0</v>
      </c>
      <c r="J69" s="6">
        <f>IF(J$2&gt;$B$1,NA(),SUMIF(入力!$B$31:$B$80,集計!$G69,入力!H$31:H$80))</f>
        <v>0</v>
      </c>
      <c r="K69" s="6">
        <f>IF(K$2&gt;$B$1,NA(),SUMIF(入力!$B$31:$B$80,集計!$G69,入力!I$31:I$80))</f>
        <v>0</v>
      </c>
      <c r="L69" s="6">
        <f>IF(L$2&gt;$B$1,NA(),SUMIF(入力!$B$31:$B$80,集計!$G69,入力!J$31:J$80))</f>
        <v>0</v>
      </c>
      <c r="M69" s="6">
        <f>IF(M$2&gt;$B$1,NA(),SUMIF(入力!$B$31:$B$80,集計!$G69,入力!K$31:K$80))</f>
        <v>0</v>
      </c>
      <c r="N69" s="6">
        <f>IF(N$2&gt;$B$1,NA(),SUMIF(入力!$B$31:$B$80,集計!$G69,入力!L$31:L$80))</f>
        <v>0</v>
      </c>
      <c r="O69" s="6" t="e">
        <f>IF(O$2&gt;$B$1,NA(),SUMIF(入力!$B$31:$B$80,集計!$G69,入力!M$31:M$80))</f>
        <v>#N/A</v>
      </c>
      <c r="P69" s="6" t="e">
        <f>IF(P$2&gt;$B$1,NA(),SUMIF(入力!$B$31:$B$80,集計!$G69,入力!N$31:N$80))</f>
        <v>#N/A</v>
      </c>
      <c r="Q69" s="6" t="e">
        <f>IF(Q$2&gt;$B$1,NA(),SUMIF(入力!$B$31:$B$80,集計!$G69,入力!O$31:O$80))</f>
        <v>#N/A</v>
      </c>
      <c r="R69" s="6" t="e">
        <f>IF(R$2&gt;$B$1,NA(),SUMIF(入力!$B$31:$B$80,集計!$G69,入力!P$31:P$80))</f>
        <v>#N/A</v>
      </c>
      <c r="S69" s="6" t="e">
        <f>IF(S$2&gt;$B$1,NA(),SUMIF(入力!$B$31:$B$80,集計!$G69,入力!Q$31:Q$80))</f>
        <v>#N/A</v>
      </c>
      <c r="T69" s="6">
        <f>SUM(H69:INDEX($H69:$S69,0,$B$1))</f>
        <v>0</v>
      </c>
      <c r="V69" s="3" t="e">
        <f t="shared" si="7"/>
        <v>#NUM!</v>
      </c>
    </row>
    <row r="70" spans="1:22" x14ac:dyDescent="0.35">
      <c r="A70" s="6">
        <f>RANK(D70,$D$28:$D$77)+COUNTIF($D$28:D70,D70)-1</f>
        <v>43</v>
      </c>
      <c r="B70" s="1" t="str" cm="1">
        <f t="array" ref="B70">IFERROR(INDEX(入力!$B:$B,$V70),"")</f>
        <v/>
      </c>
      <c r="C70" s="1" t="str">
        <f t="shared" si="5"/>
        <v/>
      </c>
      <c r="D70" s="6">
        <f>SUMIF(入力!$B$31:$B$80,$B70,INDEX(入力!$F$31:$Q$80,0,$B$1))</f>
        <v>0</v>
      </c>
      <c r="E70" s="3" t="str">
        <f>IF(COUNTIF(入力!$B$31:'入力'!B73,入力!B73)=1,ROW(入力!B73),"")</f>
        <v/>
      </c>
      <c r="F70" s="6">
        <f>RANK(T70,$T$28:$T$77)+COUNTIF($T$28:T70,T70)-1</f>
        <v>43</v>
      </c>
      <c r="G70" s="1" t="str">
        <f t="shared" si="6"/>
        <v/>
      </c>
      <c r="H70" s="6">
        <f>IF(H$2&gt;$B$1,NA(),SUMIF(入力!$B$31:$B$80,集計!$G70,入力!F$31:F$80))</f>
        <v>0</v>
      </c>
      <c r="I70" s="6">
        <f>IF(I$2&gt;$B$1,NA(),SUMIF(入力!$B$31:$B$80,集計!$G70,入力!G$31:G$80))</f>
        <v>0</v>
      </c>
      <c r="J70" s="6">
        <f>IF(J$2&gt;$B$1,NA(),SUMIF(入力!$B$31:$B$80,集計!$G70,入力!H$31:H$80))</f>
        <v>0</v>
      </c>
      <c r="K70" s="6">
        <f>IF(K$2&gt;$B$1,NA(),SUMIF(入力!$B$31:$B$80,集計!$G70,入力!I$31:I$80))</f>
        <v>0</v>
      </c>
      <c r="L70" s="6">
        <f>IF(L$2&gt;$B$1,NA(),SUMIF(入力!$B$31:$B$80,集計!$G70,入力!J$31:J$80))</f>
        <v>0</v>
      </c>
      <c r="M70" s="6">
        <f>IF(M$2&gt;$B$1,NA(),SUMIF(入力!$B$31:$B$80,集計!$G70,入力!K$31:K$80))</f>
        <v>0</v>
      </c>
      <c r="N70" s="6">
        <f>IF(N$2&gt;$B$1,NA(),SUMIF(入力!$B$31:$B$80,集計!$G70,入力!L$31:L$80))</f>
        <v>0</v>
      </c>
      <c r="O70" s="6" t="e">
        <f>IF(O$2&gt;$B$1,NA(),SUMIF(入力!$B$31:$B$80,集計!$G70,入力!M$31:M$80))</f>
        <v>#N/A</v>
      </c>
      <c r="P70" s="6" t="e">
        <f>IF(P$2&gt;$B$1,NA(),SUMIF(入力!$B$31:$B$80,集計!$G70,入力!N$31:N$80))</f>
        <v>#N/A</v>
      </c>
      <c r="Q70" s="6" t="e">
        <f>IF(Q$2&gt;$B$1,NA(),SUMIF(入力!$B$31:$B$80,集計!$G70,入力!O$31:O$80))</f>
        <v>#N/A</v>
      </c>
      <c r="R70" s="6" t="e">
        <f>IF(R$2&gt;$B$1,NA(),SUMIF(入力!$B$31:$B$80,集計!$G70,入力!P$31:P$80))</f>
        <v>#N/A</v>
      </c>
      <c r="S70" s="6" t="e">
        <f>IF(S$2&gt;$B$1,NA(),SUMIF(入力!$B$31:$B$80,集計!$G70,入力!Q$31:Q$80))</f>
        <v>#N/A</v>
      </c>
      <c r="T70" s="6">
        <f>SUM(H70:INDEX($H70:$S70,0,$B$1))</f>
        <v>0</v>
      </c>
      <c r="V70" s="3" t="e">
        <f t="shared" si="7"/>
        <v>#NUM!</v>
      </c>
    </row>
    <row r="71" spans="1:22" x14ac:dyDescent="0.35">
      <c r="A71" s="6">
        <f>RANK(D71,$D$28:$D$77)+COUNTIF($D$28:D71,D71)-1</f>
        <v>44</v>
      </c>
      <c r="B71" s="1" t="str" cm="1">
        <f t="array" ref="B71">IFERROR(INDEX(入力!$B:$B,$V71),"")</f>
        <v/>
      </c>
      <c r="C71" s="1" t="str">
        <f t="shared" si="5"/>
        <v/>
      </c>
      <c r="D71" s="6">
        <f>SUMIF(入力!$B$31:$B$80,$B71,INDEX(入力!$F$31:$Q$80,0,$B$1))</f>
        <v>0</v>
      </c>
      <c r="E71" s="3" t="str">
        <f>IF(COUNTIF(入力!$B$31:'入力'!B74,入力!B74)=1,ROW(入力!B74),"")</f>
        <v/>
      </c>
      <c r="F71" s="6">
        <f>RANK(T71,$T$28:$T$77)+COUNTIF($T$28:T71,T71)-1</f>
        <v>44</v>
      </c>
      <c r="G71" s="1" t="str">
        <f t="shared" si="6"/>
        <v/>
      </c>
      <c r="H71" s="6">
        <f>IF(H$2&gt;$B$1,NA(),SUMIF(入力!$B$31:$B$80,集計!$G71,入力!F$31:F$80))</f>
        <v>0</v>
      </c>
      <c r="I71" s="6">
        <f>IF(I$2&gt;$B$1,NA(),SUMIF(入力!$B$31:$B$80,集計!$G71,入力!G$31:G$80))</f>
        <v>0</v>
      </c>
      <c r="J71" s="6">
        <f>IF(J$2&gt;$B$1,NA(),SUMIF(入力!$B$31:$B$80,集計!$G71,入力!H$31:H$80))</f>
        <v>0</v>
      </c>
      <c r="K71" s="6">
        <f>IF(K$2&gt;$B$1,NA(),SUMIF(入力!$B$31:$B$80,集計!$G71,入力!I$31:I$80))</f>
        <v>0</v>
      </c>
      <c r="L71" s="6">
        <f>IF(L$2&gt;$B$1,NA(),SUMIF(入力!$B$31:$B$80,集計!$G71,入力!J$31:J$80))</f>
        <v>0</v>
      </c>
      <c r="M71" s="6">
        <f>IF(M$2&gt;$B$1,NA(),SUMIF(入力!$B$31:$B$80,集計!$G71,入力!K$31:K$80))</f>
        <v>0</v>
      </c>
      <c r="N71" s="6">
        <f>IF(N$2&gt;$B$1,NA(),SUMIF(入力!$B$31:$B$80,集計!$G71,入力!L$31:L$80))</f>
        <v>0</v>
      </c>
      <c r="O71" s="6" t="e">
        <f>IF(O$2&gt;$B$1,NA(),SUMIF(入力!$B$31:$B$80,集計!$G71,入力!M$31:M$80))</f>
        <v>#N/A</v>
      </c>
      <c r="P71" s="6" t="e">
        <f>IF(P$2&gt;$B$1,NA(),SUMIF(入力!$B$31:$B$80,集計!$G71,入力!N$31:N$80))</f>
        <v>#N/A</v>
      </c>
      <c r="Q71" s="6" t="e">
        <f>IF(Q$2&gt;$B$1,NA(),SUMIF(入力!$B$31:$B$80,集計!$G71,入力!O$31:O$80))</f>
        <v>#N/A</v>
      </c>
      <c r="R71" s="6" t="e">
        <f>IF(R$2&gt;$B$1,NA(),SUMIF(入力!$B$31:$B$80,集計!$G71,入力!P$31:P$80))</f>
        <v>#N/A</v>
      </c>
      <c r="S71" s="6" t="e">
        <f>IF(S$2&gt;$B$1,NA(),SUMIF(入力!$B$31:$B$80,集計!$G71,入力!Q$31:Q$80))</f>
        <v>#N/A</v>
      </c>
      <c r="T71" s="6">
        <f>SUM(H71:INDEX($H71:$S71,0,$B$1))</f>
        <v>0</v>
      </c>
      <c r="V71" s="3" t="e">
        <f t="shared" si="7"/>
        <v>#NUM!</v>
      </c>
    </row>
    <row r="72" spans="1:22" x14ac:dyDescent="0.35">
      <c r="A72" s="6">
        <f>RANK(D72,$D$28:$D$77)+COUNTIF($D$28:D72,D72)-1</f>
        <v>45</v>
      </c>
      <c r="B72" s="1" t="str" cm="1">
        <f t="array" ref="B72">IFERROR(INDEX(入力!$B:$B,$V72),"")</f>
        <v/>
      </c>
      <c r="C72" s="1" t="str">
        <f t="shared" si="5"/>
        <v/>
      </c>
      <c r="D72" s="6">
        <f>SUMIF(入力!$B$31:$B$80,$B72,INDEX(入力!$F$31:$Q$80,0,$B$1))</f>
        <v>0</v>
      </c>
      <c r="E72" s="3" t="str">
        <f>IF(COUNTIF(入力!$B$31:'入力'!B75,入力!B75)=1,ROW(入力!B75),"")</f>
        <v/>
      </c>
      <c r="F72" s="6">
        <f>RANK(T72,$T$28:$T$77)+COUNTIF($T$28:T72,T72)-1</f>
        <v>45</v>
      </c>
      <c r="G72" s="1" t="str">
        <f t="shared" si="6"/>
        <v/>
      </c>
      <c r="H72" s="6">
        <f>IF(H$2&gt;$B$1,NA(),SUMIF(入力!$B$31:$B$80,集計!$G72,入力!F$31:F$80))</f>
        <v>0</v>
      </c>
      <c r="I72" s="6">
        <f>IF(I$2&gt;$B$1,NA(),SUMIF(入力!$B$31:$B$80,集計!$G72,入力!G$31:G$80))</f>
        <v>0</v>
      </c>
      <c r="J72" s="6">
        <f>IF(J$2&gt;$B$1,NA(),SUMIF(入力!$B$31:$B$80,集計!$G72,入力!H$31:H$80))</f>
        <v>0</v>
      </c>
      <c r="K72" s="6">
        <f>IF(K$2&gt;$B$1,NA(),SUMIF(入力!$B$31:$B$80,集計!$G72,入力!I$31:I$80))</f>
        <v>0</v>
      </c>
      <c r="L72" s="6">
        <f>IF(L$2&gt;$B$1,NA(),SUMIF(入力!$B$31:$B$80,集計!$G72,入力!J$31:J$80))</f>
        <v>0</v>
      </c>
      <c r="M72" s="6">
        <f>IF(M$2&gt;$B$1,NA(),SUMIF(入力!$B$31:$B$80,集計!$G72,入力!K$31:K$80))</f>
        <v>0</v>
      </c>
      <c r="N72" s="6">
        <f>IF(N$2&gt;$B$1,NA(),SUMIF(入力!$B$31:$B$80,集計!$G72,入力!L$31:L$80))</f>
        <v>0</v>
      </c>
      <c r="O72" s="6" t="e">
        <f>IF(O$2&gt;$B$1,NA(),SUMIF(入力!$B$31:$B$80,集計!$G72,入力!M$31:M$80))</f>
        <v>#N/A</v>
      </c>
      <c r="P72" s="6" t="e">
        <f>IF(P$2&gt;$B$1,NA(),SUMIF(入力!$B$31:$B$80,集計!$G72,入力!N$31:N$80))</f>
        <v>#N/A</v>
      </c>
      <c r="Q72" s="6" t="e">
        <f>IF(Q$2&gt;$B$1,NA(),SUMIF(入力!$B$31:$B$80,集計!$G72,入力!O$31:O$80))</f>
        <v>#N/A</v>
      </c>
      <c r="R72" s="6" t="e">
        <f>IF(R$2&gt;$B$1,NA(),SUMIF(入力!$B$31:$B$80,集計!$G72,入力!P$31:P$80))</f>
        <v>#N/A</v>
      </c>
      <c r="S72" s="6" t="e">
        <f>IF(S$2&gt;$B$1,NA(),SUMIF(入力!$B$31:$B$80,集計!$G72,入力!Q$31:Q$80))</f>
        <v>#N/A</v>
      </c>
      <c r="T72" s="6">
        <f>SUM(H72:INDEX($H72:$S72,0,$B$1))</f>
        <v>0</v>
      </c>
      <c r="V72" s="3" t="e">
        <f t="shared" si="7"/>
        <v>#NUM!</v>
      </c>
    </row>
    <row r="73" spans="1:22" x14ac:dyDescent="0.35">
      <c r="A73" s="6">
        <f>RANK(D73,$D$28:$D$77)+COUNTIF($D$28:D73,D73)-1</f>
        <v>46</v>
      </c>
      <c r="B73" s="1" t="str" cm="1">
        <f t="array" ref="B73">IFERROR(INDEX(入力!$B:$B,$V73),"")</f>
        <v/>
      </c>
      <c r="C73" s="1" t="str">
        <f t="shared" si="5"/>
        <v/>
      </c>
      <c r="D73" s="6">
        <f>SUMIF(入力!$B$31:$B$80,$B73,INDEX(入力!$F$31:$Q$80,0,$B$1))</f>
        <v>0</v>
      </c>
      <c r="E73" s="3" t="str">
        <f>IF(COUNTIF(入力!$B$31:'入力'!B76,入力!B76)=1,ROW(入力!B76),"")</f>
        <v/>
      </c>
      <c r="F73" s="6">
        <f>RANK(T73,$T$28:$T$77)+COUNTIF($T$28:T73,T73)-1</f>
        <v>46</v>
      </c>
      <c r="G73" s="1" t="str">
        <f t="shared" si="6"/>
        <v/>
      </c>
      <c r="H73" s="6">
        <f>IF(H$2&gt;$B$1,NA(),SUMIF(入力!$B$31:$B$80,集計!$G73,入力!F$31:F$80))</f>
        <v>0</v>
      </c>
      <c r="I73" s="6">
        <f>IF(I$2&gt;$B$1,NA(),SUMIF(入力!$B$31:$B$80,集計!$G73,入力!G$31:G$80))</f>
        <v>0</v>
      </c>
      <c r="J73" s="6">
        <f>IF(J$2&gt;$B$1,NA(),SUMIF(入力!$B$31:$B$80,集計!$G73,入力!H$31:H$80))</f>
        <v>0</v>
      </c>
      <c r="K73" s="6">
        <f>IF(K$2&gt;$B$1,NA(),SUMIF(入力!$B$31:$B$80,集計!$G73,入力!I$31:I$80))</f>
        <v>0</v>
      </c>
      <c r="L73" s="6">
        <f>IF(L$2&gt;$B$1,NA(),SUMIF(入力!$B$31:$B$80,集計!$G73,入力!J$31:J$80))</f>
        <v>0</v>
      </c>
      <c r="M73" s="6">
        <f>IF(M$2&gt;$B$1,NA(),SUMIF(入力!$B$31:$B$80,集計!$G73,入力!K$31:K$80))</f>
        <v>0</v>
      </c>
      <c r="N73" s="6">
        <f>IF(N$2&gt;$B$1,NA(),SUMIF(入力!$B$31:$B$80,集計!$G73,入力!L$31:L$80))</f>
        <v>0</v>
      </c>
      <c r="O73" s="6" t="e">
        <f>IF(O$2&gt;$B$1,NA(),SUMIF(入力!$B$31:$B$80,集計!$G73,入力!M$31:M$80))</f>
        <v>#N/A</v>
      </c>
      <c r="P73" s="6" t="e">
        <f>IF(P$2&gt;$B$1,NA(),SUMIF(入力!$B$31:$B$80,集計!$G73,入力!N$31:N$80))</f>
        <v>#N/A</v>
      </c>
      <c r="Q73" s="6" t="e">
        <f>IF(Q$2&gt;$B$1,NA(),SUMIF(入力!$B$31:$B$80,集計!$G73,入力!O$31:O$80))</f>
        <v>#N/A</v>
      </c>
      <c r="R73" s="6" t="e">
        <f>IF(R$2&gt;$B$1,NA(),SUMIF(入力!$B$31:$B$80,集計!$G73,入力!P$31:P$80))</f>
        <v>#N/A</v>
      </c>
      <c r="S73" s="6" t="e">
        <f>IF(S$2&gt;$B$1,NA(),SUMIF(入力!$B$31:$B$80,集計!$G73,入力!Q$31:Q$80))</f>
        <v>#N/A</v>
      </c>
      <c r="T73" s="6">
        <f>SUM(H73:INDEX($H73:$S73,0,$B$1))</f>
        <v>0</v>
      </c>
      <c r="V73" s="3" t="e">
        <f t="shared" si="7"/>
        <v>#NUM!</v>
      </c>
    </row>
    <row r="74" spans="1:22" x14ac:dyDescent="0.35">
      <c r="A74" s="6">
        <f>RANK(D74,$D$28:$D$77)+COUNTIF($D$28:D74,D74)-1</f>
        <v>47</v>
      </c>
      <c r="B74" s="1" t="str" cm="1">
        <f t="array" ref="B74">IFERROR(INDEX(入力!$B:$B,$V74),"")</f>
        <v/>
      </c>
      <c r="C74" s="1" t="str">
        <f t="shared" si="5"/>
        <v/>
      </c>
      <c r="D74" s="6">
        <f>SUMIF(入力!$B$31:$B$80,$B74,INDEX(入力!$F$31:$Q$80,0,$B$1))</f>
        <v>0</v>
      </c>
      <c r="E74" s="3" t="str">
        <f>IF(COUNTIF(入力!$B$31:'入力'!B77,入力!B77)=1,ROW(入力!B77),"")</f>
        <v/>
      </c>
      <c r="F74" s="6">
        <f>RANK(T74,$T$28:$T$77)+COUNTIF($T$28:T74,T74)-1</f>
        <v>47</v>
      </c>
      <c r="G74" s="1" t="str">
        <f t="shared" si="6"/>
        <v/>
      </c>
      <c r="H74" s="6">
        <f>IF(H$2&gt;$B$1,NA(),SUMIF(入力!$B$31:$B$80,集計!$G74,入力!F$31:F$80))</f>
        <v>0</v>
      </c>
      <c r="I74" s="6">
        <f>IF(I$2&gt;$B$1,NA(),SUMIF(入力!$B$31:$B$80,集計!$G74,入力!G$31:G$80))</f>
        <v>0</v>
      </c>
      <c r="J74" s="6">
        <f>IF(J$2&gt;$B$1,NA(),SUMIF(入力!$B$31:$B$80,集計!$G74,入力!H$31:H$80))</f>
        <v>0</v>
      </c>
      <c r="K74" s="6">
        <f>IF(K$2&gt;$B$1,NA(),SUMIF(入力!$B$31:$B$80,集計!$G74,入力!I$31:I$80))</f>
        <v>0</v>
      </c>
      <c r="L74" s="6">
        <f>IF(L$2&gt;$B$1,NA(),SUMIF(入力!$B$31:$B$80,集計!$G74,入力!J$31:J$80))</f>
        <v>0</v>
      </c>
      <c r="M74" s="6">
        <f>IF(M$2&gt;$B$1,NA(),SUMIF(入力!$B$31:$B$80,集計!$G74,入力!K$31:K$80))</f>
        <v>0</v>
      </c>
      <c r="N74" s="6">
        <f>IF(N$2&gt;$B$1,NA(),SUMIF(入力!$B$31:$B$80,集計!$G74,入力!L$31:L$80))</f>
        <v>0</v>
      </c>
      <c r="O74" s="6" t="e">
        <f>IF(O$2&gt;$B$1,NA(),SUMIF(入力!$B$31:$B$80,集計!$G74,入力!M$31:M$80))</f>
        <v>#N/A</v>
      </c>
      <c r="P74" s="6" t="e">
        <f>IF(P$2&gt;$B$1,NA(),SUMIF(入力!$B$31:$B$80,集計!$G74,入力!N$31:N$80))</f>
        <v>#N/A</v>
      </c>
      <c r="Q74" s="6" t="e">
        <f>IF(Q$2&gt;$B$1,NA(),SUMIF(入力!$B$31:$B$80,集計!$G74,入力!O$31:O$80))</f>
        <v>#N/A</v>
      </c>
      <c r="R74" s="6" t="e">
        <f>IF(R$2&gt;$B$1,NA(),SUMIF(入力!$B$31:$B$80,集計!$G74,入力!P$31:P$80))</f>
        <v>#N/A</v>
      </c>
      <c r="S74" s="6" t="e">
        <f>IF(S$2&gt;$B$1,NA(),SUMIF(入力!$B$31:$B$80,集計!$G74,入力!Q$31:Q$80))</f>
        <v>#N/A</v>
      </c>
      <c r="T74" s="6">
        <f>SUM(H74:INDEX($H74:$S74,0,$B$1))</f>
        <v>0</v>
      </c>
      <c r="V74" s="3" t="e">
        <f t="shared" si="7"/>
        <v>#NUM!</v>
      </c>
    </row>
    <row r="75" spans="1:22" x14ac:dyDescent="0.35">
      <c r="A75" s="6">
        <f>RANK(D75,$D$28:$D$77)+COUNTIF($D$28:D75,D75)-1</f>
        <v>48</v>
      </c>
      <c r="B75" s="1" t="str" cm="1">
        <f t="array" ref="B75">IFERROR(INDEX(入力!$B:$B,$V75),"")</f>
        <v/>
      </c>
      <c r="C75" s="1" t="str">
        <f t="shared" si="5"/>
        <v/>
      </c>
      <c r="D75" s="6">
        <f>SUMIF(入力!$B$31:$B$80,$B75,INDEX(入力!$F$31:$Q$80,0,$B$1))</f>
        <v>0</v>
      </c>
      <c r="E75" s="3" t="str">
        <f>IF(COUNTIF(入力!$B$31:'入力'!B78,入力!B78)=1,ROW(入力!B78),"")</f>
        <v/>
      </c>
      <c r="F75" s="6">
        <f>RANK(T75,$T$28:$T$77)+COUNTIF($T$28:T75,T75)-1</f>
        <v>48</v>
      </c>
      <c r="G75" s="1" t="str">
        <f t="shared" si="6"/>
        <v/>
      </c>
      <c r="H75" s="6">
        <f>IF(H$2&gt;$B$1,NA(),SUMIF(入力!$B$31:$B$80,集計!$G75,入力!F$31:F$80))</f>
        <v>0</v>
      </c>
      <c r="I75" s="6">
        <f>IF(I$2&gt;$B$1,NA(),SUMIF(入力!$B$31:$B$80,集計!$G75,入力!G$31:G$80))</f>
        <v>0</v>
      </c>
      <c r="J75" s="6">
        <f>IF(J$2&gt;$B$1,NA(),SUMIF(入力!$B$31:$B$80,集計!$G75,入力!H$31:H$80))</f>
        <v>0</v>
      </c>
      <c r="K75" s="6">
        <f>IF(K$2&gt;$B$1,NA(),SUMIF(入力!$B$31:$B$80,集計!$G75,入力!I$31:I$80))</f>
        <v>0</v>
      </c>
      <c r="L75" s="6">
        <f>IF(L$2&gt;$B$1,NA(),SUMIF(入力!$B$31:$B$80,集計!$G75,入力!J$31:J$80))</f>
        <v>0</v>
      </c>
      <c r="M75" s="6">
        <f>IF(M$2&gt;$B$1,NA(),SUMIF(入力!$B$31:$B$80,集計!$G75,入力!K$31:K$80))</f>
        <v>0</v>
      </c>
      <c r="N75" s="6">
        <f>IF(N$2&gt;$B$1,NA(),SUMIF(入力!$B$31:$B$80,集計!$G75,入力!L$31:L$80))</f>
        <v>0</v>
      </c>
      <c r="O75" s="6" t="e">
        <f>IF(O$2&gt;$B$1,NA(),SUMIF(入力!$B$31:$B$80,集計!$G75,入力!M$31:M$80))</f>
        <v>#N/A</v>
      </c>
      <c r="P75" s="6" t="e">
        <f>IF(P$2&gt;$B$1,NA(),SUMIF(入力!$B$31:$B$80,集計!$G75,入力!N$31:N$80))</f>
        <v>#N/A</v>
      </c>
      <c r="Q75" s="6" t="e">
        <f>IF(Q$2&gt;$B$1,NA(),SUMIF(入力!$B$31:$B$80,集計!$G75,入力!O$31:O$80))</f>
        <v>#N/A</v>
      </c>
      <c r="R75" s="6" t="e">
        <f>IF(R$2&gt;$B$1,NA(),SUMIF(入力!$B$31:$B$80,集計!$G75,入力!P$31:P$80))</f>
        <v>#N/A</v>
      </c>
      <c r="S75" s="6" t="e">
        <f>IF(S$2&gt;$B$1,NA(),SUMIF(入力!$B$31:$B$80,集計!$G75,入力!Q$31:Q$80))</f>
        <v>#N/A</v>
      </c>
      <c r="T75" s="6">
        <f>SUM(H75:INDEX($H75:$S75,0,$B$1))</f>
        <v>0</v>
      </c>
      <c r="V75" s="3" t="e">
        <f t="shared" si="7"/>
        <v>#NUM!</v>
      </c>
    </row>
    <row r="76" spans="1:22" x14ac:dyDescent="0.35">
      <c r="A76" s="6">
        <f>RANK(D76,$D$28:$D$77)+COUNTIF($D$28:D76,D76)-1</f>
        <v>49</v>
      </c>
      <c r="B76" s="1" t="str" cm="1">
        <f t="array" ref="B76">IFERROR(INDEX(入力!$B:$B,$V76),"")</f>
        <v/>
      </c>
      <c r="C76" s="1" t="str">
        <f t="shared" si="5"/>
        <v/>
      </c>
      <c r="D76" s="6">
        <f>SUMIF(入力!$B$31:$B$80,$B76,INDEX(入力!$F$31:$Q$80,0,$B$1))</f>
        <v>0</v>
      </c>
      <c r="E76" s="3" t="str">
        <f>IF(COUNTIF(入力!$B$31:'入力'!B79,入力!B79)=1,ROW(入力!B79),"")</f>
        <v/>
      </c>
      <c r="F76" s="6">
        <f>RANK(T76,$T$28:$T$77)+COUNTIF($T$28:T76,T76)-1</f>
        <v>49</v>
      </c>
      <c r="G76" s="1" t="str">
        <f t="shared" si="6"/>
        <v/>
      </c>
      <c r="H76" s="6">
        <f>IF(H$2&gt;$B$1,NA(),SUMIF(入力!$B$31:$B$80,集計!$G76,入力!F$31:F$80))</f>
        <v>0</v>
      </c>
      <c r="I76" s="6">
        <f>IF(I$2&gt;$B$1,NA(),SUMIF(入力!$B$31:$B$80,集計!$G76,入力!G$31:G$80))</f>
        <v>0</v>
      </c>
      <c r="J76" s="6">
        <f>IF(J$2&gt;$B$1,NA(),SUMIF(入力!$B$31:$B$80,集計!$G76,入力!H$31:H$80))</f>
        <v>0</v>
      </c>
      <c r="K76" s="6">
        <f>IF(K$2&gt;$B$1,NA(),SUMIF(入力!$B$31:$B$80,集計!$G76,入力!I$31:I$80))</f>
        <v>0</v>
      </c>
      <c r="L76" s="6">
        <f>IF(L$2&gt;$B$1,NA(),SUMIF(入力!$B$31:$B$80,集計!$G76,入力!J$31:J$80))</f>
        <v>0</v>
      </c>
      <c r="M76" s="6">
        <f>IF(M$2&gt;$B$1,NA(),SUMIF(入力!$B$31:$B$80,集計!$G76,入力!K$31:K$80))</f>
        <v>0</v>
      </c>
      <c r="N76" s="6">
        <f>IF(N$2&gt;$B$1,NA(),SUMIF(入力!$B$31:$B$80,集計!$G76,入力!L$31:L$80))</f>
        <v>0</v>
      </c>
      <c r="O76" s="6" t="e">
        <f>IF(O$2&gt;$B$1,NA(),SUMIF(入力!$B$31:$B$80,集計!$G76,入力!M$31:M$80))</f>
        <v>#N/A</v>
      </c>
      <c r="P76" s="6" t="e">
        <f>IF(P$2&gt;$B$1,NA(),SUMIF(入力!$B$31:$B$80,集計!$G76,入力!N$31:N$80))</f>
        <v>#N/A</v>
      </c>
      <c r="Q76" s="6" t="e">
        <f>IF(Q$2&gt;$B$1,NA(),SUMIF(入力!$B$31:$B$80,集計!$G76,入力!O$31:O$80))</f>
        <v>#N/A</v>
      </c>
      <c r="R76" s="6" t="e">
        <f>IF(R$2&gt;$B$1,NA(),SUMIF(入力!$B$31:$B$80,集計!$G76,入力!P$31:P$80))</f>
        <v>#N/A</v>
      </c>
      <c r="S76" s="6" t="e">
        <f>IF(S$2&gt;$B$1,NA(),SUMIF(入力!$B$31:$B$80,集計!$G76,入力!Q$31:Q$80))</f>
        <v>#N/A</v>
      </c>
      <c r="T76" s="6">
        <f>SUM(H76:INDEX($H76:$S76,0,$B$1))</f>
        <v>0</v>
      </c>
      <c r="V76" s="3" t="e">
        <f t="shared" si="7"/>
        <v>#NUM!</v>
      </c>
    </row>
    <row r="77" spans="1:22" x14ac:dyDescent="0.35">
      <c r="A77" s="6">
        <f>RANK(D77,$D$28:$D$77)+COUNTIF($D$28:D77,D77)-1</f>
        <v>50</v>
      </c>
      <c r="B77" s="1" t="str" cm="1">
        <f t="array" ref="B77">IFERROR(INDEX(入力!$B:$B,$V77),"")</f>
        <v/>
      </c>
      <c r="C77" s="1" t="str">
        <f t="shared" si="5"/>
        <v/>
      </c>
      <c r="D77" s="6">
        <f>SUMIF(入力!$B$31:$B$80,$B77,INDEX(入力!$F$31:$Q$80,0,$B$1))</f>
        <v>0</v>
      </c>
      <c r="E77" s="3" t="str">
        <f>IF(COUNTIF(入力!$B$31:'入力'!B80,入力!B80)=1,ROW(入力!B80),"")</f>
        <v/>
      </c>
      <c r="F77" s="6">
        <f>RANK(T77,$T$28:$T$77)+COUNTIF($T$28:T77,T77)-1</f>
        <v>50</v>
      </c>
      <c r="G77" s="1" t="str">
        <f t="shared" si="6"/>
        <v/>
      </c>
      <c r="H77" s="6">
        <f>IF(H$2&gt;$B$1,NA(),SUMIF(入力!$B$31:$B$80,集計!$G77,入力!F$31:F$80))</f>
        <v>0</v>
      </c>
      <c r="I77" s="6">
        <f>IF(I$2&gt;$B$1,NA(),SUMIF(入力!$B$31:$B$80,集計!$G77,入力!G$31:G$80))</f>
        <v>0</v>
      </c>
      <c r="J77" s="6">
        <f>IF(J$2&gt;$B$1,NA(),SUMIF(入力!$B$31:$B$80,集計!$G77,入力!H$31:H$80))</f>
        <v>0</v>
      </c>
      <c r="K77" s="6">
        <f>IF(K$2&gt;$B$1,NA(),SUMIF(入力!$B$31:$B$80,集計!$G77,入力!I$31:I$80))</f>
        <v>0</v>
      </c>
      <c r="L77" s="6">
        <f>IF(L$2&gt;$B$1,NA(),SUMIF(入力!$B$31:$B$80,集計!$G77,入力!J$31:J$80))</f>
        <v>0</v>
      </c>
      <c r="M77" s="6">
        <f>IF(M$2&gt;$B$1,NA(),SUMIF(入力!$B$31:$B$80,集計!$G77,入力!K$31:K$80))</f>
        <v>0</v>
      </c>
      <c r="N77" s="6">
        <f>IF(N$2&gt;$B$1,NA(),SUMIF(入力!$B$31:$B$80,集計!$G77,入力!L$31:L$80))</f>
        <v>0</v>
      </c>
      <c r="O77" s="6" t="e">
        <f>IF(O$2&gt;$B$1,NA(),SUMIF(入力!$B$31:$B$80,集計!$G77,入力!M$31:M$80))</f>
        <v>#N/A</v>
      </c>
      <c r="P77" s="6" t="e">
        <f>IF(P$2&gt;$B$1,NA(),SUMIF(入力!$B$31:$B$80,集計!$G77,入力!N$31:N$80))</f>
        <v>#N/A</v>
      </c>
      <c r="Q77" s="6" t="e">
        <f>IF(Q$2&gt;$B$1,NA(),SUMIF(入力!$B$31:$B$80,集計!$G77,入力!O$31:O$80))</f>
        <v>#N/A</v>
      </c>
      <c r="R77" s="6" t="e">
        <f>IF(R$2&gt;$B$1,NA(),SUMIF(入力!$B$31:$B$80,集計!$G77,入力!P$31:P$80))</f>
        <v>#N/A</v>
      </c>
      <c r="S77" s="6" t="e">
        <f>IF(S$2&gt;$B$1,NA(),SUMIF(入力!$B$31:$B$80,集計!$G77,入力!Q$31:Q$80))</f>
        <v>#N/A</v>
      </c>
      <c r="T77" s="6">
        <f>SUM(H77:INDEX($H77:$S77,0,$B$1))</f>
        <v>0</v>
      </c>
      <c r="V77" s="3" t="e">
        <f t="shared" si="7"/>
        <v>#NUM!</v>
      </c>
    </row>
    <row r="78" spans="1:22" ht="15.75" x14ac:dyDescent="0.35">
      <c r="E78"/>
    </row>
    <row r="79" spans="1:22" ht="15.75" x14ac:dyDescent="0.35">
      <c r="B79" s="1" t="s">
        <v>103</v>
      </c>
      <c r="E79"/>
      <c r="G79" s="1" t="s">
        <v>104</v>
      </c>
    </row>
    <row r="80" spans="1:22" ht="16.5" x14ac:dyDescent="0.35">
      <c r="A80" s="7" t="s">
        <v>102</v>
      </c>
      <c r="B80" s="7" t="s">
        <v>97</v>
      </c>
      <c r="C80" s="7" t="s">
        <v>92</v>
      </c>
      <c r="D80" s="7" t="s">
        <v>93</v>
      </c>
      <c r="E80"/>
      <c r="G80" s="7" t="s">
        <v>97</v>
      </c>
      <c r="H80" s="7" t="s">
        <v>7</v>
      </c>
      <c r="I80" s="7" t="s">
        <v>8</v>
      </c>
      <c r="J80" s="7" t="s">
        <v>9</v>
      </c>
      <c r="K80" s="7" t="s">
        <v>10</v>
      </c>
      <c r="L80" s="7" t="s">
        <v>11</v>
      </c>
      <c r="M80" s="7" t="s">
        <v>12</v>
      </c>
      <c r="N80" s="7" t="s">
        <v>13</v>
      </c>
      <c r="O80" s="7" t="s">
        <v>14</v>
      </c>
      <c r="P80" s="7" t="s">
        <v>15</v>
      </c>
      <c r="Q80" s="7" t="s">
        <v>16</v>
      </c>
      <c r="R80" s="7" t="s">
        <v>17</v>
      </c>
      <c r="S80" s="7" t="s">
        <v>18</v>
      </c>
      <c r="T80" s="7" t="s">
        <v>24</v>
      </c>
    </row>
    <row r="81" spans="1:20" ht="15.75" x14ac:dyDescent="0.35">
      <c r="A81" s="1">
        <v>1</v>
      </c>
      <c r="B81" s="1" t="str">
        <f>IFERROR(VLOOKUP(A81,$A$28:$B$77,2,FALSE),"")</f>
        <v>住宅</v>
      </c>
      <c r="C81" s="1" t="str">
        <f t="shared" ref="C81:C91" si="8">IF(D81/$D$22&lt;0.05,"",B81)</f>
        <v>住宅</v>
      </c>
      <c r="D81" s="6">
        <f>SUMIF(入力!$B$31:$B$80,集計!B81,INDEX(入力!$F$31:$Q$80,0,集計!$B$1))</f>
        <v>127500</v>
      </c>
      <c r="E81"/>
      <c r="F81" s="1">
        <v>1</v>
      </c>
      <c r="G81" s="1" t="str">
        <f>IFERROR(VLOOKUP(F81,$F$28:$G$77,2,FALSE),"")</f>
        <v>住宅</v>
      </c>
      <c r="H81" s="6">
        <f>IF(H$2&gt;$B$1,NA(),SUMIF(入力!$B$31:$B$80,集計!$G81,入力!F$31:F$80))</f>
        <v>127500</v>
      </c>
      <c r="I81" s="6">
        <f>IF(I$2&gt;$B$1,NA(),SUMIF(入力!$B$31:$B$80,集計!$G81,入力!G$31:G$80))</f>
        <v>127500</v>
      </c>
      <c r="J81" s="6">
        <f>IF(J$2&gt;$B$1,NA(),SUMIF(入力!$B$31:$B$80,集計!$G81,入力!H$31:H$80))</f>
        <v>127500</v>
      </c>
      <c r="K81" s="6">
        <f>IF(K$2&gt;$B$1,NA(),SUMIF(入力!$B$31:$B$80,集計!$G81,入力!I$31:I$80))</f>
        <v>127500</v>
      </c>
      <c r="L81" s="6">
        <f>IF(L$2&gt;$B$1,NA(),SUMIF(入力!$B$31:$B$80,集計!$G81,入力!J$31:J$80))</f>
        <v>127500</v>
      </c>
      <c r="M81" s="6">
        <f>IF(M$2&gt;$B$1,NA(),SUMIF(入力!$B$31:$B$80,集計!$G81,入力!K$31:K$80))</f>
        <v>127500</v>
      </c>
      <c r="N81" s="6">
        <f>IF(N$2&gt;$B$1,NA(),SUMIF(入力!$B$31:$B$80,集計!$G81,入力!L$31:L$80))</f>
        <v>127500</v>
      </c>
      <c r="O81" s="6" t="e">
        <f>IF(O$2&gt;$B$1,NA(),SUMIF(入力!$B$31:$B$80,集計!$G81,入力!M$31:M$80))</f>
        <v>#N/A</v>
      </c>
      <c r="P81" s="6" t="e">
        <f>IF(P$2&gt;$B$1,NA(),SUMIF(入力!$B$31:$B$80,集計!$G81,入力!N$31:N$80))</f>
        <v>#N/A</v>
      </c>
      <c r="Q81" s="6" t="e">
        <f>IF(Q$2&gt;$B$1,NA(),SUMIF(入力!$B$31:$B$80,集計!$G81,入力!O$31:O$80))</f>
        <v>#N/A</v>
      </c>
      <c r="R81" s="6" t="e">
        <f>IF(R$2&gt;$B$1,NA(),SUMIF(入力!$B$31:$B$80,集計!$G81,入力!P$31:P$80))</f>
        <v>#N/A</v>
      </c>
      <c r="S81" s="6" t="e">
        <f>IF(S$2&gt;$B$1,NA(),SUMIF(入力!$B$31:$B$80,集計!$G81,入力!Q$31:Q$80))</f>
        <v>#N/A</v>
      </c>
      <c r="T81" s="6">
        <f>SUM(H81:INDEX($H81:$S81,0,$B$1))</f>
        <v>892500</v>
      </c>
    </row>
    <row r="82" spans="1:20" ht="15.75" x14ac:dyDescent="0.35">
      <c r="A82" s="1">
        <v>2</v>
      </c>
      <c r="B82" s="1" t="str">
        <f>IFERROR(IF(SUM($D$81:D81)/$D$22&gt;0.95,"",VLOOKUP(A82,$A$28:$B$77,2,FALSE)),"")</f>
        <v>食費</v>
      </c>
      <c r="C82" s="1" t="str">
        <f t="shared" si="8"/>
        <v>食費</v>
      </c>
      <c r="D82" s="6">
        <f>SUMIF(入力!$B$31:$B$80,集計!B82,INDEX(入力!$F$31:$Q$80,0,集計!$B$1))</f>
        <v>47295</v>
      </c>
      <c r="E82"/>
      <c r="F82" s="1">
        <v>2</v>
      </c>
      <c r="G82" s="1" t="str">
        <f>IFERROR(IF(SUM($T$81:T81)/SUM($T$28:$T$77)&gt;0.95,"",VLOOKUP(F82,$F$28:$G$77,2,FALSE)),"")</f>
        <v>食費</v>
      </c>
      <c r="H82" s="6">
        <f>IF(H$2&gt;$B$1,NA(),SUMIF(入力!$B$31:$B$80,集計!$G82,入力!F$31:F$80))</f>
        <v>75255</v>
      </c>
      <c r="I82" s="6">
        <f>IF(I$2&gt;$B$1,NA(),SUMIF(入力!$B$31:$B$80,集計!$G82,入力!G$31:G$80))</f>
        <v>46329</v>
      </c>
      <c r="J82" s="6">
        <f>IF(J$2&gt;$B$1,NA(),SUMIF(入力!$B$31:$B$80,集計!$G82,入力!H$31:H$80))</f>
        <v>51048</v>
      </c>
      <c r="K82" s="6">
        <f>IF(K$2&gt;$B$1,NA(),SUMIF(入力!$B$31:$B$80,集計!$G82,入力!I$31:I$80))</f>
        <v>47924</v>
      </c>
      <c r="L82" s="6">
        <f>IF(L$2&gt;$B$1,NA(),SUMIF(入力!$B$31:$B$80,集計!$G82,入力!J$31:J$80))</f>
        <v>81817</v>
      </c>
      <c r="M82" s="6">
        <f>IF(M$2&gt;$B$1,NA(),SUMIF(入力!$B$31:$B$80,集計!$G82,入力!K$31:K$80))</f>
        <v>47980</v>
      </c>
      <c r="N82" s="6">
        <f>IF(N$2&gt;$B$1,NA(),SUMIF(入力!$B$31:$B$80,集計!$G82,入力!L$31:L$80))</f>
        <v>47295</v>
      </c>
      <c r="O82" s="6" t="e">
        <f>IF(O$2&gt;$B$1,NA(),SUMIF(入力!$B$31:$B$80,集計!$G82,入力!M$31:M$80))</f>
        <v>#N/A</v>
      </c>
      <c r="P82" s="6" t="e">
        <f>IF(P$2&gt;$B$1,NA(),SUMIF(入力!$B$31:$B$80,集計!$G82,入力!N$31:N$80))</f>
        <v>#N/A</v>
      </c>
      <c r="Q82" s="6" t="e">
        <f>IF(Q$2&gt;$B$1,NA(),SUMIF(入力!$B$31:$B$80,集計!$G82,入力!O$31:O$80))</f>
        <v>#N/A</v>
      </c>
      <c r="R82" s="6" t="e">
        <f>IF(R$2&gt;$B$1,NA(),SUMIF(入力!$B$31:$B$80,集計!$G82,入力!P$31:P$80))</f>
        <v>#N/A</v>
      </c>
      <c r="S82" s="6" t="e">
        <f>IF(S$2&gt;$B$1,NA(),SUMIF(入力!$B$31:$B$80,集計!$G82,入力!Q$31:Q$80))</f>
        <v>#N/A</v>
      </c>
      <c r="T82" s="6">
        <f>SUM(H82:INDEX($H82:$S82,0,$B$1))</f>
        <v>397648</v>
      </c>
    </row>
    <row r="83" spans="1:20" ht="15.75" x14ac:dyDescent="0.35">
      <c r="A83" s="1">
        <v>3</v>
      </c>
      <c r="B83" s="1" t="str">
        <f>IFERROR(IF(SUM($D$81:D82)/$D$22&gt;0.95,"",VLOOKUP(A83,$A$28:$B$77,2,FALSE)),"")</f>
        <v>交際費</v>
      </c>
      <c r="C83" s="1" t="str">
        <f t="shared" si="8"/>
        <v>交際費</v>
      </c>
      <c r="D83" s="6">
        <f>SUMIF(入力!$B$31:$B$80,集計!B83,INDEX(入力!$F$31:$Q$80,0,集計!$B$1))</f>
        <v>30000</v>
      </c>
      <c r="E83"/>
      <c r="F83" s="1">
        <v>3</v>
      </c>
      <c r="G83" s="1" t="str">
        <f>IFERROR(IF(SUM($T$81:T82)/SUM($T$28:$T$77)&gt;0.95,"",VLOOKUP(F83,$F$28:$G$77,2,FALSE)),"")</f>
        <v>交通費</v>
      </c>
      <c r="H83" s="6">
        <f>IF(H$2&gt;$B$1,NA(),SUMIF(入力!$B$31:$B$80,集計!$G83,入力!F$31:F$80))</f>
        <v>8469</v>
      </c>
      <c r="I83" s="6">
        <f>IF(I$2&gt;$B$1,NA(),SUMIF(入力!$B$31:$B$80,集計!$G83,入力!G$31:G$80))</f>
        <v>3102</v>
      </c>
      <c r="J83" s="6">
        <f>IF(J$2&gt;$B$1,NA(),SUMIF(入力!$B$31:$B$80,集計!$G83,入力!H$31:H$80))</f>
        <v>2921</v>
      </c>
      <c r="K83" s="6">
        <f>IF(K$2&gt;$B$1,NA(),SUMIF(入力!$B$31:$B$80,集計!$G83,入力!I$31:I$80))</f>
        <v>7154</v>
      </c>
      <c r="L83" s="6">
        <f>IF(L$2&gt;$B$1,NA(),SUMIF(入力!$B$31:$B$80,集計!$G83,入力!J$31:J$80))</f>
        <v>100553</v>
      </c>
      <c r="M83" s="6">
        <f>IF(M$2&gt;$B$1,NA(),SUMIF(入力!$B$31:$B$80,集計!$G83,入力!K$31:K$80))</f>
        <v>4292</v>
      </c>
      <c r="N83" s="6">
        <f>IF(N$2&gt;$B$1,NA(),SUMIF(入力!$B$31:$B$80,集計!$G83,入力!L$31:L$80))</f>
        <v>5982</v>
      </c>
      <c r="O83" s="6" t="e">
        <f>IF(O$2&gt;$B$1,NA(),SUMIF(入力!$B$31:$B$80,集計!$G83,入力!M$31:M$80))</f>
        <v>#N/A</v>
      </c>
      <c r="P83" s="6" t="e">
        <f>IF(P$2&gt;$B$1,NA(),SUMIF(入力!$B$31:$B$80,集計!$G83,入力!N$31:N$80))</f>
        <v>#N/A</v>
      </c>
      <c r="Q83" s="6" t="e">
        <f>IF(Q$2&gt;$B$1,NA(),SUMIF(入力!$B$31:$B$80,集計!$G83,入力!O$31:O$80))</f>
        <v>#N/A</v>
      </c>
      <c r="R83" s="6" t="e">
        <f>IF(R$2&gt;$B$1,NA(),SUMIF(入力!$B$31:$B$80,集計!$G83,入力!P$31:P$80))</f>
        <v>#N/A</v>
      </c>
      <c r="S83" s="6" t="e">
        <f>IF(S$2&gt;$B$1,NA(),SUMIF(入力!$B$31:$B$80,集計!$G83,入力!Q$31:Q$80))</f>
        <v>#N/A</v>
      </c>
      <c r="T83" s="6">
        <f>SUM(H83:INDEX($H83:$S83,0,$B$1))</f>
        <v>132473</v>
      </c>
    </row>
    <row r="84" spans="1:20" ht="15.75" x14ac:dyDescent="0.35">
      <c r="A84" s="1">
        <v>4</v>
      </c>
      <c r="B84" s="1" t="str">
        <f>IFERROR(IF(SUM($D$81:D83)/$D$22&gt;0.95,"",VLOOKUP(A84,$A$28:$B$77,2,FALSE)),"")</f>
        <v>保険</v>
      </c>
      <c r="C84" s="1" t="str">
        <f t="shared" si="8"/>
        <v>保険</v>
      </c>
      <c r="D84" s="6">
        <f>SUMIF(入力!$B$31:$B$80,集計!B84,INDEX(入力!$F$31:$Q$80,0,集計!$B$1))</f>
        <v>18000</v>
      </c>
      <c r="E84"/>
      <c r="F84" s="1">
        <v>4</v>
      </c>
      <c r="G84" s="1" t="str">
        <f>IFERROR(IF(SUM($T$81:T83)/SUM($T$28:$T$77)&gt;0.95,"",VLOOKUP(F84,$F$28:$G$77,2,FALSE)),"")</f>
        <v>保険</v>
      </c>
      <c r="H84" s="6">
        <f>IF(H$2&gt;$B$1,NA(),SUMIF(入力!$B$31:$B$80,集計!$G84,入力!F$31:F$80))</f>
        <v>18000</v>
      </c>
      <c r="I84" s="6">
        <f>IF(I$2&gt;$B$1,NA(),SUMIF(入力!$B$31:$B$80,集計!$G84,入力!G$31:G$80))</f>
        <v>18000</v>
      </c>
      <c r="J84" s="6">
        <f>IF(J$2&gt;$B$1,NA(),SUMIF(入力!$B$31:$B$80,集計!$G84,入力!H$31:H$80))</f>
        <v>18000</v>
      </c>
      <c r="K84" s="6">
        <f>IF(K$2&gt;$B$1,NA(),SUMIF(入力!$B$31:$B$80,集計!$G84,入力!I$31:I$80))</f>
        <v>18000</v>
      </c>
      <c r="L84" s="6">
        <f>IF(L$2&gt;$B$1,NA(),SUMIF(入力!$B$31:$B$80,集計!$G84,入力!J$31:J$80))</f>
        <v>18000</v>
      </c>
      <c r="M84" s="6">
        <f>IF(M$2&gt;$B$1,NA(),SUMIF(入力!$B$31:$B$80,集計!$G84,入力!K$31:K$80))</f>
        <v>18000</v>
      </c>
      <c r="N84" s="6">
        <f>IF(N$2&gt;$B$1,NA(),SUMIF(入力!$B$31:$B$80,集計!$G84,入力!L$31:L$80))</f>
        <v>18000</v>
      </c>
      <c r="O84" s="6" t="e">
        <f>IF(O$2&gt;$B$1,NA(),SUMIF(入力!$B$31:$B$80,集計!$G84,入力!M$31:M$80))</f>
        <v>#N/A</v>
      </c>
      <c r="P84" s="6" t="e">
        <f>IF(P$2&gt;$B$1,NA(),SUMIF(入力!$B$31:$B$80,集計!$G84,入力!N$31:N$80))</f>
        <v>#N/A</v>
      </c>
      <c r="Q84" s="6" t="e">
        <f>IF(Q$2&gt;$B$1,NA(),SUMIF(入力!$B$31:$B$80,集計!$G84,入力!O$31:O$80))</f>
        <v>#N/A</v>
      </c>
      <c r="R84" s="6" t="e">
        <f>IF(R$2&gt;$B$1,NA(),SUMIF(入力!$B$31:$B$80,集計!$G84,入力!P$31:P$80))</f>
        <v>#N/A</v>
      </c>
      <c r="S84" s="6" t="e">
        <f>IF(S$2&gt;$B$1,NA(),SUMIF(入力!$B$31:$B$80,集計!$G84,入力!Q$31:Q$80))</f>
        <v>#N/A</v>
      </c>
      <c r="T84" s="6">
        <f>SUM(H84:INDEX($H84:$S84,0,$B$1))</f>
        <v>126000</v>
      </c>
    </row>
    <row r="85" spans="1:20" ht="15.75" x14ac:dyDescent="0.35">
      <c r="A85" s="1">
        <v>5</v>
      </c>
      <c r="B85" s="1" t="str">
        <f>IFERROR(IF(SUM($D$81:D84)/$D$22&gt;0.95,"",VLOOKUP(A85,$A$28:$B$77,2,FALSE)),"")</f>
        <v>教養・教育</v>
      </c>
      <c r="C85" s="1" t="str">
        <f t="shared" si="8"/>
        <v/>
      </c>
      <c r="D85" s="6">
        <f>SUMIF(入力!$B$31:$B$80,集計!B85,INDEX(入力!$F$31:$Q$80,0,集計!$B$1))</f>
        <v>12500</v>
      </c>
      <c r="E85"/>
      <c r="F85" s="1">
        <v>5</v>
      </c>
      <c r="G85" s="1" t="str">
        <f>IFERROR(IF(SUM($T$81:T84)/SUM($T$28:$T$77)&gt;0.95,"",VLOOKUP(F85,$F$28:$G$77,2,FALSE)),"")</f>
        <v>水道・光熱費</v>
      </c>
      <c r="H85" s="6">
        <f>IF(H$2&gt;$B$1,NA(),SUMIF(入力!$B$31:$B$80,集計!$G85,入力!F$31:F$80))</f>
        <v>13051</v>
      </c>
      <c r="I85" s="6">
        <f>IF(I$2&gt;$B$1,NA(),SUMIF(入力!$B$31:$B$80,集計!$G85,入力!G$31:G$80))</f>
        <v>17131</v>
      </c>
      <c r="J85" s="6">
        <f>IF(J$2&gt;$B$1,NA(),SUMIF(入力!$B$31:$B$80,集計!$G85,入力!H$31:H$80))</f>
        <v>11945</v>
      </c>
      <c r="K85" s="6">
        <f>IF(K$2&gt;$B$1,NA(),SUMIF(入力!$B$31:$B$80,集計!$G85,入力!I$31:I$80))</f>
        <v>15666</v>
      </c>
      <c r="L85" s="6">
        <f>IF(L$2&gt;$B$1,NA(),SUMIF(入力!$B$31:$B$80,集計!$G85,入力!J$31:J$80))</f>
        <v>9733</v>
      </c>
      <c r="M85" s="6">
        <f>IF(M$2&gt;$B$1,NA(),SUMIF(入力!$B$31:$B$80,集計!$G85,入力!K$31:K$80))</f>
        <v>15397</v>
      </c>
      <c r="N85" s="6">
        <f>IF(N$2&gt;$B$1,NA(),SUMIF(入力!$B$31:$B$80,集計!$G85,入力!L$31:L$80))</f>
        <v>9978</v>
      </c>
      <c r="O85" s="6" t="e">
        <f>IF(O$2&gt;$B$1,NA(),SUMIF(入力!$B$31:$B$80,集計!$G85,入力!M$31:M$80))</f>
        <v>#N/A</v>
      </c>
      <c r="P85" s="6" t="e">
        <f>IF(P$2&gt;$B$1,NA(),SUMIF(入力!$B$31:$B$80,集計!$G85,入力!N$31:N$80))</f>
        <v>#N/A</v>
      </c>
      <c r="Q85" s="6" t="e">
        <f>IF(Q$2&gt;$B$1,NA(),SUMIF(入力!$B$31:$B$80,集計!$G85,入力!O$31:O$80))</f>
        <v>#N/A</v>
      </c>
      <c r="R85" s="6" t="e">
        <f>IF(R$2&gt;$B$1,NA(),SUMIF(入力!$B$31:$B$80,集計!$G85,入力!P$31:P$80))</f>
        <v>#N/A</v>
      </c>
      <c r="S85" s="6" t="e">
        <f>IF(S$2&gt;$B$1,NA(),SUMIF(入力!$B$31:$B$80,集計!$G85,入力!Q$31:Q$80))</f>
        <v>#N/A</v>
      </c>
      <c r="T85" s="6">
        <f>SUM(H85:INDEX($H85:$S85,0,$B$1))</f>
        <v>92901</v>
      </c>
    </row>
    <row r="86" spans="1:20" ht="15.75" x14ac:dyDescent="0.35">
      <c r="A86" s="1">
        <v>6</v>
      </c>
      <c r="B86" s="1" t="str">
        <f>IFERROR(IF(SUM($D$81:D85)/$D$22&gt;0.95,"",VLOOKUP(A86,$A$28:$B$77,2,FALSE)),"")</f>
        <v>日用品</v>
      </c>
      <c r="C86" s="1" t="str">
        <f t="shared" si="8"/>
        <v/>
      </c>
      <c r="D86" s="6">
        <f>SUMIF(入力!$B$31:$B$80,集計!B86,INDEX(入力!$F$31:$Q$80,0,集計!$B$1))</f>
        <v>11341</v>
      </c>
      <c r="E86"/>
      <c r="F86" s="1">
        <v>6</v>
      </c>
      <c r="G86" s="1" t="str">
        <f>IFERROR(IF(SUM($T$81:T85)/SUM($T$28:$T$77)&gt;0.95,"",VLOOKUP(F86,$F$28:$G$77,2,FALSE)),"")</f>
        <v>衣服・美容</v>
      </c>
      <c r="H86" s="6">
        <f>IF(H$2&gt;$B$1,NA(),SUMIF(入力!$B$31:$B$80,集計!$G86,入力!F$31:F$80))</f>
        <v>15400</v>
      </c>
      <c r="I86" s="6">
        <f>IF(I$2&gt;$B$1,NA(),SUMIF(入力!$B$31:$B$80,集計!$G86,入力!G$31:G$80))</f>
        <v>11900</v>
      </c>
      <c r="J86" s="6">
        <f>IF(J$2&gt;$B$1,NA(),SUMIF(入力!$B$31:$B$80,集計!$G86,入力!H$31:H$80))</f>
        <v>20100</v>
      </c>
      <c r="K86" s="6">
        <f>IF(K$2&gt;$B$1,NA(),SUMIF(入力!$B$31:$B$80,集計!$G86,入力!I$31:I$80))</f>
        <v>11900</v>
      </c>
      <c r="L86" s="6">
        <f>IF(L$2&gt;$B$1,NA(),SUMIF(入力!$B$31:$B$80,集計!$G86,入力!J$31:J$80))</f>
        <v>14200</v>
      </c>
      <c r="M86" s="6">
        <f>IF(M$2&gt;$B$1,NA(),SUMIF(入力!$B$31:$B$80,集計!$G86,入力!K$31:K$80))</f>
        <v>15700</v>
      </c>
      <c r="N86" s="6">
        <f>IF(N$2&gt;$B$1,NA(),SUMIF(入力!$B$31:$B$80,集計!$G86,入力!L$31:L$80))</f>
        <v>2100</v>
      </c>
      <c r="O86" s="6" t="e">
        <f>IF(O$2&gt;$B$1,NA(),SUMIF(入力!$B$31:$B$80,集計!$G86,入力!M$31:M$80))</f>
        <v>#N/A</v>
      </c>
      <c r="P86" s="6" t="e">
        <f>IF(P$2&gt;$B$1,NA(),SUMIF(入力!$B$31:$B$80,集計!$G86,入力!N$31:N$80))</f>
        <v>#N/A</v>
      </c>
      <c r="Q86" s="6" t="e">
        <f>IF(Q$2&gt;$B$1,NA(),SUMIF(入力!$B$31:$B$80,集計!$G86,入力!O$31:O$80))</f>
        <v>#N/A</v>
      </c>
      <c r="R86" s="6" t="e">
        <f>IF(R$2&gt;$B$1,NA(),SUMIF(入力!$B$31:$B$80,集計!$G86,入力!P$31:P$80))</f>
        <v>#N/A</v>
      </c>
      <c r="S86" s="6" t="e">
        <f>IF(S$2&gt;$B$1,NA(),SUMIF(入力!$B$31:$B$80,集計!$G86,入力!Q$31:Q$80))</f>
        <v>#N/A</v>
      </c>
      <c r="T86" s="6">
        <f>SUM(H86:INDEX($H86:$S86,0,$B$1))</f>
        <v>91300</v>
      </c>
    </row>
    <row r="87" spans="1:20" ht="15.75" x14ac:dyDescent="0.35">
      <c r="A87" s="1">
        <v>7</v>
      </c>
      <c r="B87" s="1" t="str">
        <f>IFERROR(IF(SUM($D$81:D86)/$D$22&gt;0.95,"",VLOOKUP(A87,$A$28:$B$77,2,FALSE)),"")</f>
        <v>水道・光熱費</v>
      </c>
      <c r="C87" s="1" t="str">
        <f t="shared" si="8"/>
        <v/>
      </c>
      <c r="D87" s="6">
        <f>SUMIF(入力!$B$31:$B$80,集計!B87,INDEX(入力!$F$31:$Q$80,0,集計!$B$1))</f>
        <v>9978</v>
      </c>
      <c r="E87"/>
      <c r="F87" s="1">
        <v>7</v>
      </c>
      <c r="G87" s="1" t="str">
        <f>IFERROR(IF(SUM($T$81:T86)/SUM($T$28:$T$77)&gt;0.95,"",VLOOKUP(F87,$F$28:$G$77,2,FALSE)),"")</f>
        <v>教養・教育</v>
      </c>
      <c r="H87" s="6">
        <f>IF(H$2&gt;$B$1,NA(),SUMIF(入力!$B$31:$B$80,集計!$G87,入力!F$31:F$80))</f>
        <v>12500</v>
      </c>
      <c r="I87" s="6">
        <f>IF(I$2&gt;$B$1,NA(),SUMIF(入力!$B$31:$B$80,集計!$G87,入力!G$31:G$80))</f>
        <v>12500</v>
      </c>
      <c r="J87" s="6">
        <f>IF(J$2&gt;$B$1,NA(),SUMIF(入力!$B$31:$B$80,集計!$G87,入力!H$31:H$80))</f>
        <v>12500</v>
      </c>
      <c r="K87" s="6">
        <f>IF(K$2&gt;$B$1,NA(),SUMIF(入力!$B$31:$B$80,集計!$G87,入力!I$31:I$80))</f>
        <v>12500</v>
      </c>
      <c r="L87" s="6">
        <f>IF(L$2&gt;$B$1,NA(),SUMIF(入力!$B$31:$B$80,集計!$G87,入力!J$31:J$80))</f>
        <v>15200</v>
      </c>
      <c r="M87" s="6">
        <f>IF(M$2&gt;$B$1,NA(),SUMIF(入力!$B$31:$B$80,集計!$G87,入力!K$31:K$80))</f>
        <v>12500</v>
      </c>
      <c r="N87" s="6">
        <f>IF(N$2&gt;$B$1,NA(),SUMIF(入力!$B$31:$B$80,集計!$G87,入力!L$31:L$80))</f>
        <v>12500</v>
      </c>
      <c r="O87" s="6" t="e">
        <f>IF(O$2&gt;$B$1,NA(),SUMIF(入力!$B$31:$B$80,集計!$G87,入力!M$31:M$80))</f>
        <v>#N/A</v>
      </c>
      <c r="P87" s="6" t="e">
        <f>IF(P$2&gt;$B$1,NA(),SUMIF(入力!$B$31:$B$80,集計!$G87,入力!N$31:N$80))</f>
        <v>#N/A</v>
      </c>
      <c r="Q87" s="6" t="e">
        <f>IF(Q$2&gt;$B$1,NA(),SUMIF(入力!$B$31:$B$80,集計!$G87,入力!O$31:O$80))</f>
        <v>#N/A</v>
      </c>
      <c r="R87" s="6" t="e">
        <f>IF(R$2&gt;$B$1,NA(),SUMIF(入力!$B$31:$B$80,集計!$G87,入力!P$31:P$80))</f>
        <v>#N/A</v>
      </c>
      <c r="S87" s="6" t="e">
        <f>IF(S$2&gt;$B$1,NA(),SUMIF(入力!$B$31:$B$80,集計!$G87,入力!Q$31:Q$80))</f>
        <v>#N/A</v>
      </c>
      <c r="T87" s="6">
        <f>SUM(H87:INDEX($H87:$S87,0,$B$1))</f>
        <v>90200</v>
      </c>
    </row>
    <row r="88" spans="1:20" ht="15.75" x14ac:dyDescent="0.35">
      <c r="A88" s="1">
        <v>8</v>
      </c>
      <c r="B88" s="1" t="str">
        <f>IFERROR(IF(SUM($D$81:D87)/$D$22&gt;0.95,"",VLOOKUP(A88,$A$28:$B$77,2,FALSE)),"")</f>
        <v>通信費</v>
      </c>
      <c r="C88" s="1" t="str">
        <f t="shared" si="8"/>
        <v/>
      </c>
      <c r="D88" s="6">
        <f>SUMIF(入力!$B$31:$B$80,集計!B88,INDEX(入力!$F$31:$Q$80,0,集計!$B$1))</f>
        <v>8145</v>
      </c>
      <c r="E88"/>
      <c r="F88" s="1">
        <v>8</v>
      </c>
      <c r="G88" s="1" t="str">
        <f>IFERROR(IF(SUM($T$81:T87)/SUM($T$28:$T$77)&gt;0.95,"",VLOOKUP(F88,$F$28:$G$77,2,FALSE)),"")</f>
        <v>特別費</v>
      </c>
      <c r="H88" s="6">
        <f>IF(H$2&gt;$B$1,NA(),SUMIF(入力!$B$31:$B$80,集計!$G88,入力!F$31:F$80))</f>
        <v>38000</v>
      </c>
      <c r="I88" s="6">
        <f>IF(I$2&gt;$B$1,NA(),SUMIF(入力!$B$31:$B$80,集計!$G88,入力!G$31:G$80))</f>
        <v>0</v>
      </c>
      <c r="J88" s="6">
        <f>IF(J$2&gt;$B$1,NA(),SUMIF(入力!$B$31:$B$80,集計!$G88,入力!H$31:H$80))</f>
        <v>0</v>
      </c>
      <c r="K88" s="6">
        <f>IF(K$2&gt;$B$1,NA(),SUMIF(入力!$B$31:$B$80,集計!$G88,入力!I$31:I$80))</f>
        <v>37000</v>
      </c>
      <c r="L88" s="6">
        <f>IF(L$2&gt;$B$1,NA(),SUMIF(入力!$B$31:$B$80,集計!$G88,入力!J$31:J$80))</f>
        <v>0</v>
      </c>
      <c r="M88" s="6">
        <f>IF(M$2&gt;$B$1,NA(),SUMIF(入力!$B$31:$B$80,集計!$G88,入力!K$31:K$80))</f>
        <v>0</v>
      </c>
      <c r="N88" s="6">
        <f>IF(N$2&gt;$B$1,NA(),SUMIF(入力!$B$31:$B$80,集計!$G88,入力!L$31:L$80))</f>
        <v>0</v>
      </c>
      <c r="O88" s="6" t="e">
        <f>IF(O$2&gt;$B$1,NA(),SUMIF(入力!$B$31:$B$80,集計!$G88,入力!M$31:M$80))</f>
        <v>#N/A</v>
      </c>
      <c r="P88" s="6" t="e">
        <f>IF(P$2&gt;$B$1,NA(),SUMIF(入力!$B$31:$B$80,集計!$G88,入力!N$31:N$80))</f>
        <v>#N/A</v>
      </c>
      <c r="Q88" s="6" t="e">
        <f>IF(Q$2&gt;$B$1,NA(),SUMIF(入力!$B$31:$B$80,集計!$G88,入力!O$31:O$80))</f>
        <v>#N/A</v>
      </c>
      <c r="R88" s="6" t="e">
        <f>IF(R$2&gt;$B$1,NA(),SUMIF(入力!$B$31:$B$80,集計!$G88,入力!P$31:P$80))</f>
        <v>#N/A</v>
      </c>
      <c r="S88" s="6" t="e">
        <f>IF(S$2&gt;$B$1,NA(),SUMIF(入力!$B$31:$B$80,集計!$G88,入力!Q$31:Q$80))</f>
        <v>#N/A</v>
      </c>
      <c r="T88" s="6">
        <f>SUM(H88:INDEX($H88:$S88,0,$B$1))</f>
        <v>75000</v>
      </c>
    </row>
    <row r="89" spans="1:20" ht="15.75" x14ac:dyDescent="0.35">
      <c r="A89" s="1">
        <v>9</v>
      </c>
      <c r="B89" s="1" t="str">
        <f>IFERROR(IF(SUM($D$81:D88)/$D$22&gt;0.95,"",VLOOKUP(A89,$A$28:$B$77,2,FALSE)),"")</f>
        <v/>
      </c>
      <c r="C89" s="1" t="str">
        <f t="shared" si="8"/>
        <v/>
      </c>
      <c r="D89" s="6">
        <f>SUMIF(入力!$B$31:$B$80,集計!B89,INDEX(入力!$F$31:$Q$80,0,集計!$B$1))</f>
        <v>0</v>
      </c>
      <c r="E89"/>
      <c r="F89" s="1">
        <v>9</v>
      </c>
      <c r="G89" s="1" t="str">
        <f>IFERROR(IF(SUM($T$81:T88)/SUM($T$28:$T$77)&gt;0.95,"",VLOOKUP(F89,$F$28:$G$77,2,FALSE)),"")</f>
        <v>交際費</v>
      </c>
      <c r="H89" s="6">
        <f>IF(H$2&gt;$B$1,NA(),SUMIF(入力!$B$31:$B$80,集計!$G89,入力!F$31:F$80))</f>
        <v>20642</v>
      </c>
      <c r="I89" s="6">
        <f>IF(I$2&gt;$B$1,NA(),SUMIF(入力!$B$31:$B$80,集計!$G89,入力!G$31:G$80))</f>
        <v>6621</v>
      </c>
      <c r="J89" s="6">
        <f>IF(J$2&gt;$B$1,NA(),SUMIF(入力!$B$31:$B$80,集計!$G89,入力!H$31:H$80))</f>
        <v>0</v>
      </c>
      <c r="K89" s="6">
        <f>IF(K$2&gt;$B$1,NA(),SUMIF(入力!$B$31:$B$80,集計!$G89,入力!I$31:I$80))</f>
        <v>4302</v>
      </c>
      <c r="L89" s="6">
        <f>IF(L$2&gt;$B$1,NA(),SUMIF(入力!$B$31:$B$80,集計!$G89,入力!J$31:J$80))</f>
        <v>0</v>
      </c>
      <c r="M89" s="6">
        <f>IF(M$2&gt;$B$1,NA(),SUMIF(入力!$B$31:$B$80,集計!$G89,入力!K$31:K$80))</f>
        <v>0</v>
      </c>
      <c r="N89" s="6">
        <f>IF(N$2&gt;$B$1,NA(),SUMIF(入力!$B$31:$B$80,集計!$G89,入力!L$31:L$80))</f>
        <v>30000</v>
      </c>
      <c r="O89" s="6" t="e">
        <f>IF(O$2&gt;$B$1,NA(),SUMIF(入力!$B$31:$B$80,集計!$G89,入力!M$31:M$80))</f>
        <v>#N/A</v>
      </c>
      <c r="P89" s="6" t="e">
        <f>IF(P$2&gt;$B$1,NA(),SUMIF(入力!$B$31:$B$80,集計!$G89,入力!N$31:N$80))</f>
        <v>#N/A</v>
      </c>
      <c r="Q89" s="6" t="e">
        <f>IF(Q$2&gt;$B$1,NA(),SUMIF(入力!$B$31:$B$80,集計!$G89,入力!O$31:O$80))</f>
        <v>#N/A</v>
      </c>
      <c r="R89" s="6" t="e">
        <f>IF(R$2&gt;$B$1,NA(),SUMIF(入力!$B$31:$B$80,集計!$G89,入力!P$31:P$80))</f>
        <v>#N/A</v>
      </c>
      <c r="S89" s="6" t="e">
        <f>IF(S$2&gt;$B$1,NA(),SUMIF(入力!$B$31:$B$80,集計!$G89,入力!Q$31:Q$80))</f>
        <v>#N/A</v>
      </c>
      <c r="T89" s="6">
        <f>SUM(H89:INDEX($H89:$S89,0,$B$1))</f>
        <v>61565</v>
      </c>
    </row>
    <row r="90" spans="1:20" ht="15.75" x14ac:dyDescent="0.35">
      <c r="A90" s="1">
        <v>10</v>
      </c>
      <c r="B90" s="1" t="str">
        <f>IFERROR(IF(SUM($D$81:D89)/$D$22&gt;0.95,"",VLOOKUP(A90,$A$28:$B$77,2,FALSE)),"")</f>
        <v/>
      </c>
      <c r="C90" s="1" t="str">
        <f t="shared" si="8"/>
        <v/>
      </c>
      <c r="D90" s="6">
        <f>SUMIF(入力!$B$31:$B$80,集計!B90,INDEX(入力!$F$31:$Q$80,0,集計!$B$1))</f>
        <v>0</v>
      </c>
      <c r="E90"/>
      <c r="F90" s="1">
        <v>10</v>
      </c>
      <c r="G90" s="1" t="str">
        <f>IFERROR(IF(SUM($T$81:T89)/SUM($T$28:$T$77)&gt;0.95,"",VLOOKUP(F90,$F$28:$G$77,2,FALSE)),"")</f>
        <v>通信費</v>
      </c>
      <c r="H90" s="6">
        <f>IF(H$2&gt;$B$1,NA(),SUMIF(入力!$B$31:$B$80,集計!$G90,入力!F$31:F$80))</f>
        <v>8271</v>
      </c>
      <c r="I90" s="6">
        <f>IF(I$2&gt;$B$1,NA(),SUMIF(入力!$B$31:$B$80,集計!$G90,入力!G$31:G$80))</f>
        <v>8502</v>
      </c>
      <c r="J90" s="6">
        <f>IF(J$2&gt;$B$1,NA(),SUMIF(入力!$B$31:$B$80,集計!$G90,入力!H$31:H$80))</f>
        <v>8753</v>
      </c>
      <c r="K90" s="6">
        <f>IF(K$2&gt;$B$1,NA(),SUMIF(入力!$B$31:$B$80,集計!$G90,入力!I$31:I$80))</f>
        <v>8943</v>
      </c>
      <c r="L90" s="6">
        <f>IF(L$2&gt;$B$1,NA(),SUMIF(入力!$B$31:$B$80,集計!$G90,入力!J$31:J$80))</f>
        <v>8088</v>
      </c>
      <c r="M90" s="6">
        <f>IF(M$2&gt;$B$1,NA(),SUMIF(入力!$B$31:$B$80,集計!$G90,入力!K$31:K$80))</f>
        <v>8898</v>
      </c>
      <c r="N90" s="6">
        <f>IF(N$2&gt;$B$1,NA(),SUMIF(入力!$B$31:$B$80,集計!$G90,入力!L$31:L$80))</f>
        <v>8145</v>
      </c>
      <c r="O90" s="6" t="e">
        <f>IF(O$2&gt;$B$1,NA(),SUMIF(入力!$B$31:$B$80,集計!$G90,入力!M$31:M$80))</f>
        <v>#N/A</v>
      </c>
      <c r="P90" s="6" t="e">
        <f>IF(P$2&gt;$B$1,NA(),SUMIF(入力!$B$31:$B$80,集計!$G90,入力!N$31:N$80))</f>
        <v>#N/A</v>
      </c>
      <c r="Q90" s="6" t="e">
        <f>IF(Q$2&gt;$B$1,NA(),SUMIF(入力!$B$31:$B$80,集計!$G90,入力!O$31:O$80))</f>
        <v>#N/A</v>
      </c>
      <c r="R90" s="6" t="e">
        <f>IF(R$2&gt;$B$1,NA(),SUMIF(入力!$B$31:$B$80,集計!$G90,入力!P$31:P$80))</f>
        <v>#N/A</v>
      </c>
      <c r="S90" s="6" t="e">
        <f>IF(S$2&gt;$B$1,NA(),SUMIF(入力!$B$31:$B$80,集計!$G90,入力!Q$31:Q$80))</f>
        <v>#N/A</v>
      </c>
      <c r="T90" s="6">
        <f>SUM(H90:INDEX($H90:$S90,0,$B$1))</f>
        <v>59600</v>
      </c>
    </row>
    <row r="91" spans="1:20" ht="15.75" x14ac:dyDescent="0.35">
      <c r="A91" s="11"/>
      <c r="B91" s="11" t="s">
        <v>109</v>
      </c>
      <c r="C91" s="11" t="str">
        <f t="shared" si="8"/>
        <v/>
      </c>
      <c r="D91" s="12">
        <f>$D$22-SUM(D81:D90)</f>
        <v>8082</v>
      </c>
      <c r="E91"/>
      <c r="G91" s="11" t="str">
        <f>B91</f>
        <v xml:space="preserve">その他 </v>
      </c>
      <c r="H91" s="12">
        <f>入力!F$30-SUM(H81:H90)</f>
        <v>20767</v>
      </c>
      <c r="I91" s="12">
        <f>入力!G$30-SUM(I81:I90)</f>
        <v>5647</v>
      </c>
      <c r="J91" s="12">
        <f>入力!H$30-SUM(J81:J90)</f>
        <v>7106</v>
      </c>
      <c r="K91" s="12">
        <f>入力!I$30-SUM(K81:K90)</f>
        <v>9137</v>
      </c>
      <c r="L91" s="12">
        <f>入力!J$30-SUM(L81:L90)</f>
        <v>8532</v>
      </c>
      <c r="M91" s="12">
        <f>入力!K$30-SUM(M81:M90)</f>
        <v>7738</v>
      </c>
      <c r="N91" s="12">
        <f>入力!L$30-SUM(N81:N90)</f>
        <v>11341</v>
      </c>
      <c r="O91" s="12" t="e">
        <f>入力!M$30-SUM(O81:O90)</f>
        <v>#N/A</v>
      </c>
      <c r="P91" s="12" t="e">
        <f>入力!N$30-SUM(P81:P90)</f>
        <v>#N/A</v>
      </c>
      <c r="Q91" s="12" t="e">
        <f>入力!O$30-SUM(Q81:Q90)</f>
        <v>#N/A</v>
      </c>
      <c r="R91" s="12" t="e">
        <f>入力!P$30-SUM(R81:R90)</f>
        <v>#N/A</v>
      </c>
      <c r="S91" s="12" t="e">
        <f>入力!Q$30-SUM(S81:S90)</f>
        <v>#N/A</v>
      </c>
      <c r="T91" s="12">
        <f>SUM(H91:INDEX($H91:$S91,0,$B$1))</f>
        <v>70268</v>
      </c>
    </row>
    <row r="92" spans="1:20" ht="15.75" x14ac:dyDescent="0.35">
      <c r="D92"/>
      <c r="E92"/>
    </row>
    <row r="93" spans="1:20" ht="15.75" x14ac:dyDescent="0.35">
      <c r="B93" s="1" t="s">
        <v>105</v>
      </c>
      <c r="E93"/>
      <c r="G93" s="1" t="s">
        <v>106</v>
      </c>
    </row>
    <row r="94" spans="1:20" ht="16.5" x14ac:dyDescent="0.35">
      <c r="B94" s="7" t="s">
        <v>97</v>
      </c>
      <c r="C94" s="7" t="s">
        <v>92</v>
      </c>
      <c r="D94" s="7" t="s">
        <v>93</v>
      </c>
      <c r="E94"/>
      <c r="G94" s="7" t="s">
        <v>97</v>
      </c>
      <c r="H94" s="7" t="s">
        <v>7</v>
      </c>
      <c r="I94" s="7" t="s">
        <v>8</v>
      </c>
      <c r="J94" s="7" t="s">
        <v>9</v>
      </c>
      <c r="K94" s="7" t="s">
        <v>10</v>
      </c>
      <c r="L94" s="7" t="s">
        <v>11</v>
      </c>
      <c r="M94" s="7" t="s">
        <v>12</v>
      </c>
      <c r="N94" s="7" t="s">
        <v>13</v>
      </c>
      <c r="O94" s="7" t="s">
        <v>14</v>
      </c>
      <c r="P94" s="7" t="s">
        <v>15</v>
      </c>
      <c r="Q94" s="7" t="s">
        <v>16</v>
      </c>
      <c r="R94" s="7" t="s">
        <v>17</v>
      </c>
      <c r="S94" s="7" t="s">
        <v>18</v>
      </c>
      <c r="T94" s="7" t="s">
        <v>24</v>
      </c>
    </row>
    <row r="95" spans="1:20" ht="15.75" x14ac:dyDescent="0.35">
      <c r="B95" s="1" t="str">
        <f>IF(OR($B94=$B$91,$B94=""),"",IF($B81="",B$91,B81))</f>
        <v>住宅</v>
      </c>
      <c r="C95" s="1" t="str">
        <f t="shared" ref="C95:C105" si="9">IF(OR($B94=$B$91,$B94=""),"",IF($B81="",C$91,C81))</f>
        <v>住宅</v>
      </c>
      <c r="D95" s="6">
        <f t="shared" ref="D95:D105" si="10">IF(OR($B94=$B$91,$B94=""),"",IF($B81="",D$91,D81))</f>
        <v>127500</v>
      </c>
      <c r="E95"/>
      <c r="G95" s="1" t="str">
        <f>IF(OR($G94=$G$91,$G94=""),"",IF($G81="",G$91,G81))</f>
        <v>住宅</v>
      </c>
      <c r="H95" s="1">
        <f>IF(OR($G94=$G$91,$G94=""),"",IF($G81="",ROUND(H$91/10000,0),ROUND(H81/10000,0)))</f>
        <v>13</v>
      </c>
      <c r="I95" s="1">
        <f t="shared" ref="I95:T95" si="11">IF(OR($G94=$G$91,$G94=""),"",IF($G81="",ROUND(I$91/10000,0),ROUND(I81/10000,0)))</f>
        <v>13</v>
      </c>
      <c r="J95" s="1">
        <f t="shared" si="11"/>
        <v>13</v>
      </c>
      <c r="K95" s="1">
        <f t="shared" si="11"/>
        <v>13</v>
      </c>
      <c r="L95" s="1">
        <f t="shared" si="11"/>
        <v>13</v>
      </c>
      <c r="M95" s="1">
        <f t="shared" si="11"/>
        <v>13</v>
      </c>
      <c r="N95" s="1">
        <f t="shared" si="11"/>
        <v>13</v>
      </c>
      <c r="O95" s="1" t="e">
        <f t="shared" si="11"/>
        <v>#N/A</v>
      </c>
      <c r="P95" s="1" t="e">
        <f t="shared" si="11"/>
        <v>#N/A</v>
      </c>
      <c r="Q95" s="1" t="e">
        <f t="shared" si="11"/>
        <v>#N/A</v>
      </c>
      <c r="R95" s="1" t="e">
        <f t="shared" si="11"/>
        <v>#N/A</v>
      </c>
      <c r="S95" s="1" t="e">
        <f t="shared" si="11"/>
        <v>#N/A</v>
      </c>
      <c r="T95" s="1">
        <f t="shared" si="11"/>
        <v>89</v>
      </c>
    </row>
    <row r="96" spans="1:20" ht="15.75" x14ac:dyDescent="0.35">
      <c r="B96" s="1" t="str">
        <f t="shared" ref="B96:B105" si="12">IF(OR($B95=$B$91,$B95=""),"",IF($B82="",B$91,B82))</f>
        <v>食費</v>
      </c>
      <c r="C96" s="1" t="str">
        <f t="shared" si="9"/>
        <v>食費</v>
      </c>
      <c r="D96" s="6">
        <f t="shared" si="10"/>
        <v>47295</v>
      </c>
      <c r="E96"/>
      <c r="G96" s="1" t="str">
        <f t="shared" ref="G96:G105" si="13">IF(OR($G95=$G$91,$G95=""),"",IF($G82="",G$91,G82))</f>
        <v>食費</v>
      </c>
      <c r="H96" s="1">
        <f t="shared" ref="H96:T105" si="14">IF(OR($G95=$G$91,$G95=""),"",IF($G82="",ROUND(H$91/10000,0),ROUND(H82/10000,0)))</f>
        <v>8</v>
      </c>
      <c r="I96" s="1">
        <f t="shared" si="14"/>
        <v>5</v>
      </c>
      <c r="J96" s="1">
        <f t="shared" si="14"/>
        <v>5</v>
      </c>
      <c r="K96" s="1">
        <f t="shared" si="14"/>
        <v>5</v>
      </c>
      <c r="L96" s="1">
        <f t="shared" si="14"/>
        <v>8</v>
      </c>
      <c r="M96" s="1">
        <f t="shared" si="14"/>
        <v>5</v>
      </c>
      <c r="N96" s="1">
        <f t="shared" si="14"/>
        <v>5</v>
      </c>
      <c r="O96" s="1" t="e">
        <f t="shared" si="14"/>
        <v>#N/A</v>
      </c>
      <c r="P96" s="1" t="e">
        <f t="shared" si="14"/>
        <v>#N/A</v>
      </c>
      <c r="Q96" s="1" t="e">
        <f t="shared" si="14"/>
        <v>#N/A</v>
      </c>
      <c r="R96" s="1" t="e">
        <f t="shared" si="14"/>
        <v>#N/A</v>
      </c>
      <c r="S96" s="1" t="e">
        <f t="shared" si="14"/>
        <v>#N/A</v>
      </c>
      <c r="T96" s="1">
        <f t="shared" si="14"/>
        <v>40</v>
      </c>
    </row>
    <row r="97" spans="1:20" ht="15.75" x14ac:dyDescent="0.35">
      <c r="B97" s="1" t="str">
        <f t="shared" si="12"/>
        <v>交際費</v>
      </c>
      <c r="C97" s="1" t="str">
        <f t="shared" si="9"/>
        <v>交際費</v>
      </c>
      <c r="D97" s="6">
        <f t="shared" si="10"/>
        <v>30000</v>
      </c>
      <c r="E97"/>
      <c r="G97" s="1" t="str">
        <f t="shared" si="13"/>
        <v>交通費</v>
      </c>
      <c r="H97" s="1">
        <f t="shared" si="14"/>
        <v>1</v>
      </c>
      <c r="I97" s="1">
        <f t="shared" si="14"/>
        <v>0</v>
      </c>
      <c r="J97" s="1">
        <f t="shared" si="14"/>
        <v>0</v>
      </c>
      <c r="K97" s="1">
        <f t="shared" si="14"/>
        <v>1</v>
      </c>
      <c r="L97" s="1">
        <f t="shared" si="14"/>
        <v>10</v>
      </c>
      <c r="M97" s="1">
        <f t="shared" si="14"/>
        <v>0</v>
      </c>
      <c r="N97" s="1">
        <f t="shared" si="14"/>
        <v>1</v>
      </c>
      <c r="O97" s="1" t="e">
        <f t="shared" si="14"/>
        <v>#N/A</v>
      </c>
      <c r="P97" s="1" t="e">
        <f t="shared" si="14"/>
        <v>#N/A</v>
      </c>
      <c r="Q97" s="1" t="e">
        <f t="shared" si="14"/>
        <v>#N/A</v>
      </c>
      <c r="R97" s="1" t="e">
        <f t="shared" si="14"/>
        <v>#N/A</v>
      </c>
      <c r="S97" s="1" t="e">
        <f t="shared" si="14"/>
        <v>#N/A</v>
      </c>
      <c r="T97" s="1">
        <f t="shared" si="14"/>
        <v>13</v>
      </c>
    </row>
    <row r="98" spans="1:20" ht="15.75" x14ac:dyDescent="0.35">
      <c r="B98" s="1" t="str">
        <f t="shared" si="12"/>
        <v>保険</v>
      </c>
      <c r="C98" s="1" t="str">
        <f t="shared" si="9"/>
        <v>保険</v>
      </c>
      <c r="D98" s="6">
        <f t="shared" si="10"/>
        <v>18000</v>
      </c>
      <c r="E98"/>
      <c r="G98" s="1" t="str">
        <f t="shared" si="13"/>
        <v>保険</v>
      </c>
      <c r="H98" s="1">
        <f t="shared" si="14"/>
        <v>2</v>
      </c>
      <c r="I98" s="1">
        <f t="shared" si="14"/>
        <v>2</v>
      </c>
      <c r="J98" s="1">
        <f t="shared" si="14"/>
        <v>2</v>
      </c>
      <c r="K98" s="1">
        <f t="shared" si="14"/>
        <v>2</v>
      </c>
      <c r="L98" s="1">
        <f t="shared" si="14"/>
        <v>2</v>
      </c>
      <c r="M98" s="1">
        <f t="shared" si="14"/>
        <v>2</v>
      </c>
      <c r="N98" s="1">
        <f t="shared" si="14"/>
        <v>2</v>
      </c>
      <c r="O98" s="1" t="e">
        <f t="shared" si="14"/>
        <v>#N/A</v>
      </c>
      <c r="P98" s="1" t="e">
        <f t="shared" si="14"/>
        <v>#N/A</v>
      </c>
      <c r="Q98" s="1" t="e">
        <f t="shared" si="14"/>
        <v>#N/A</v>
      </c>
      <c r="R98" s="1" t="e">
        <f t="shared" si="14"/>
        <v>#N/A</v>
      </c>
      <c r="S98" s="1" t="e">
        <f t="shared" si="14"/>
        <v>#N/A</v>
      </c>
      <c r="T98" s="1">
        <f t="shared" si="14"/>
        <v>13</v>
      </c>
    </row>
    <row r="99" spans="1:20" ht="15.75" x14ac:dyDescent="0.35">
      <c r="B99" s="1" t="str">
        <f t="shared" si="12"/>
        <v>教養・教育</v>
      </c>
      <c r="C99" s="1" t="str">
        <f t="shared" si="9"/>
        <v/>
      </c>
      <c r="D99" s="6">
        <f t="shared" si="10"/>
        <v>12500</v>
      </c>
      <c r="E99"/>
      <c r="G99" s="1" t="str">
        <f t="shared" si="13"/>
        <v>水道・光熱費</v>
      </c>
      <c r="H99" s="1">
        <f t="shared" si="14"/>
        <v>1</v>
      </c>
      <c r="I99" s="1">
        <f t="shared" si="14"/>
        <v>2</v>
      </c>
      <c r="J99" s="1">
        <f t="shared" si="14"/>
        <v>1</v>
      </c>
      <c r="K99" s="1">
        <f t="shared" si="14"/>
        <v>2</v>
      </c>
      <c r="L99" s="1">
        <f t="shared" si="14"/>
        <v>1</v>
      </c>
      <c r="M99" s="1">
        <f t="shared" si="14"/>
        <v>2</v>
      </c>
      <c r="N99" s="1">
        <f t="shared" si="14"/>
        <v>1</v>
      </c>
      <c r="O99" s="1" t="e">
        <f t="shared" si="14"/>
        <v>#N/A</v>
      </c>
      <c r="P99" s="1" t="e">
        <f t="shared" si="14"/>
        <v>#N/A</v>
      </c>
      <c r="Q99" s="1" t="e">
        <f t="shared" si="14"/>
        <v>#N/A</v>
      </c>
      <c r="R99" s="1" t="e">
        <f t="shared" si="14"/>
        <v>#N/A</v>
      </c>
      <c r="S99" s="1" t="e">
        <f t="shared" si="14"/>
        <v>#N/A</v>
      </c>
      <c r="T99" s="1">
        <f t="shared" si="14"/>
        <v>9</v>
      </c>
    </row>
    <row r="100" spans="1:20" ht="15.75" x14ac:dyDescent="0.35">
      <c r="B100" s="1" t="str">
        <f t="shared" si="12"/>
        <v>日用品</v>
      </c>
      <c r="C100" s="1" t="str">
        <f t="shared" si="9"/>
        <v/>
      </c>
      <c r="D100" s="6">
        <f t="shared" si="10"/>
        <v>11341</v>
      </c>
      <c r="E100"/>
      <c r="G100" s="1" t="str">
        <f t="shared" si="13"/>
        <v>衣服・美容</v>
      </c>
      <c r="H100" s="1">
        <f t="shared" si="14"/>
        <v>2</v>
      </c>
      <c r="I100" s="1">
        <f t="shared" si="14"/>
        <v>1</v>
      </c>
      <c r="J100" s="1">
        <f t="shared" si="14"/>
        <v>2</v>
      </c>
      <c r="K100" s="1">
        <f t="shared" si="14"/>
        <v>1</v>
      </c>
      <c r="L100" s="1">
        <f t="shared" si="14"/>
        <v>1</v>
      </c>
      <c r="M100" s="1">
        <f t="shared" si="14"/>
        <v>2</v>
      </c>
      <c r="N100" s="1">
        <f t="shared" si="14"/>
        <v>0</v>
      </c>
      <c r="O100" s="1" t="e">
        <f t="shared" si="14"/>
        <v>#N/A</v>
      </c>
      <c r="P100" s="1" t="e">
        <f t="shared" si="14"/>
        <v>#N/A</v>
      </c>
      <c r="Q100" s="1" t="e">
        <f t="shared" si="14"/>
        <v>#N/A</v>
      </c>
      <c r="R100" s="1" t="e">
        <f t="shared" si="14"/>
        <v>#N/A</v>
      </c>
      <c r="S100" s="1" t="e">
        <f t="shared" si="14"/>
        <v>#N/A</v>
      </c>
      <c r="T100" s="1">
        <f t="shared" si="14"/>
        <v>9</v>
      </c>
    </row>
    <row r="101" spans="1:20" ht="15.75" x14ac:dyDescent="0.35">
      <c r="B101" s="1" t="str">
        <f t="shared" si="12"/>
        <v>水道・光熱費</v>
      </c>
      <c r="C101" s="1" t="str">
        <f t="shared" si="9"/>
        <v/>
      </c>
      <c r="D101" s="6">
        <f t="shared" si="10"/>
        <v>9978</v>
      </c>
      <c r="E101"/>
      <c r="G101" s="1" t="str">
        <f t="shared" si="13"/>
        <v>教養・教育</v>
      </c>
      <c r="H101" s="1">
        <f t="shared" si="14"/>
        <v>1</v>
      </c>
      <c r="I101" s="1">
        <f t="shared" si="14"/>
        <v>1</v>
      </c>
      <c r="J101" s="1">
        <f t="shared" si="14"/>
        <v>1</v>
      </c>
      <c r="K101" s="1">
        <f t="shared" si="14"/>
        <v>1</v>
      </c>
      <c r="L101" s="1">
        <f t="shared" si="14"/>
        <v>2</v>
      </c>
      <c r="M101" s="1">
        <f t="shared" si="14"/>
        <v>1</v>
      </c>
      <c r="N101" s="1">
        <f t="shared" si="14"/>
        <v>1</v>
      </c>
      <c r="O101" s="1" t="e">
        <f t="shared" si="14"/>
        <v>#N/A</v>
      </c>
      <c r="P101" s="1" t="e">
        <f t="shared" si="14"/>
        <v>#N/A</v>
      </c>
      <c r="Q101" s="1" t="e">
        <f t="shared" si="14"/>
        <v>#N/A</v>
      </c>
      <c r="R101" s="1" t="e">
        <f t="shared" si="14"/>
        <v>#N/A</v>
      </c>
      <c r="S101" s="1" t="e">
        <f t="shared" si="14"/>
        <v>#N/A</v>
      </c>
      <c r="T101" s="1">
        <f t="shared" si="14"/>
        <v>9</v>
      </c>
    </row>
    <row r="102" spans="1:20" ht="15.75" x14ac:dyDescent="0.35">
      <c r="B102" s="1" t="str">
        <f t="shared" si="12"/>
        <v>通信費</v>
      </c>
      <c r="C102" s="1" t="str">
        <f t="shared" si="9"/>
        <v/>
      </c>
      <c r="D102" s="6">
        <f t="shared" si="10"/>
        <v>8145</v>
      </c>
      <c r="E102"/>
      <c r="G102" s="1" t="str">
        <f t="shared" si="13"/>
        <v>特別費</v>
      </c>
      <c r="H102" s="1">
        <f t="shared" si="14"/>
        <v>4</v>
      </c>
      <c r="I102" s="1">
        <f t="shared" si="14"/>
        <v>0</v>
      </c>
      <c r="J102" s="1">
        <f t="shared" si="14"/>
        <v>0</v>
      </c>
      <c r="K102" s="1">
        <f t="shared" si="14"/>
        <v>4</v>
      </c>
      <c r="L102" s="1">
        <f t="shared" si="14"/>
        <v>0</v>
      </c>
      <c r="M102" s="1">
        <f t="shared" si="14"/>
        <v>0</v>
      </c>
      <c r="N102" s="1">
        <f t="shared" si="14"/>
        <v>0</v>
      </c>
      <c r="O102" s="1" t="e">
        <f t="shared" si="14"/>
        <v>#N/A</v>
      </c>
      <c r="P102" s="1" t="e">
        <f t="shared" si="14"/>
        <v>#N/A</v>
      </c>
      <c r="Q102" s="1" t="e">
        <f t="shared" si="14"/>
        <v>#N/A</v>
      </c>
      <c r="R102" s="1" t="e">
        <f t="shared" si="14"/>
        <v>#N/A</v>
      </c>
      <c r="S102" s="1" t="e">
        <f t="shared" si="14"/>
        <v>#N/A</v>
      </c>
      <c r="T102" s="1">
        <f t="shared" si="14"/>
        <v>8</v>
      </c>
    </row>
    <row r="103" spans="1:20" ht="15.75" x14ac:dyDescent="0.35">
      <c r="B103" s="1" t="str">
        <f t="shared" si="12"/>
        <v xml:space="preserve">その他 </v>
      </c>
      <c r="C103" s="1" t="str">
        <f t="shared" si="9"/>
        <v/>
      </c>
      <c r="D103" s="6">
        <f t="shared" si="10"/>
        <v>8082</v>
      </c>
      <c r="E103"/>
      <c r="G103" s="1" t="str">
        <f t="shared" si="13"/>
        <v>交際費</v>
      </c>
      <c r="H103" s="1">
        <f t="shared" si="14"/>
        <v>2</v>
      </c>
      <c r="I103" s="1">
        <f t="shared" si="14"/>
        <v>1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0</v>
      </c>
      <c r="N103" s="1">
        <f t="shared" si="14"/>
        <v>3</v>
      </c>
      <c r="O103" s="1" t="e">
        <f t="shared" si="14"/>
        <v>#N/A</v>
      </c>
      <c r="P103" s="1" t="e">
        <f t="shared" si="14"/>
        <v>#N/A</v>
      </c>
      <c r="Q103" s="1" t="e">
        <f t="shared" si="14"/>
        <v>#N/A</v>
      </c>
      <c r="R103" s="1" t="e">
        <f t="shared" si="14"/>
        <v>#N/A</v>
      </c>
      <c r="S103" s="1" t="e">
        <f t="shared" si="14"/>
        <v>#N/A</v>
      </c>
      <c r="T103" s="1">
        <f t="shared" si="14"/>
        <v>6</v>
      </c>
    </row>
    <row r="104" spans="1:20" ht="15.75" x14ac:dyDescent="0.35">
      <c r="B104" s="1" t="str">
        <f t="shared" si="12"/>
        <v/>
      </c>
      <c r="C104" s="1" t="str">
        <f t="shared" si="9"/>
        <v/>
      </c>
      <c r="D104" s="6" t="str">
        <f t="shared" si="10"/>
        <v/>
      </c>
      <c r="E104"/>
      <c r="G104" s="1" t="str">
        <f t="shared" si="13"/>
        <v>通信費</v>
      </c>
      <c r="H104" s="1">
        <f t="shared" si="14"/>
        <v>1</v>
      </c>
      <c r="I104" s="1">
        <f t="shared" si="14"/>
        <v>1</v>
      </c>
      <c r="J104" s="1">
        <f t="shared" si="14"/>
        <v>1</v>
      </c>
      <c r="K104" s="1">
        <f t="shared" si="14"/>
        <v>1</v>
      </c>
      <c r="L104" s="1">
        <f t="shared" si="14"/>
        <v>1</v>
      </c>
      <c r="M104" s="1">
        <f t="shared" si="14"/>
        <v>1</v>
      </c>
      <c r="N104" s="1">
        <f t="shared" si="14"/>
        <v>1</v>
      </c>
      <c r="O104" s="1" t="e">
        <f t="shared" si="14"/>
        <v>#N/A</v>
      </c>
      <c r="P104" s="1" t="e">
        <f t="shared" si="14"/>
        <v>#N/A</v>
      </c>
      <c r="Q104" s="1" t="e">
        <f t="shared" si="14"/>
        <v>#N/A</v>
      </c>
      <c r="R104" s="1" t="e">
        <f t="shared" si="14"/>
        <v>#N/A</v>
      </c>
      <c r="S104" s="1" t="e">
        <f t="shared" si="14"/>
        <v>#N/A</v>
      </c>
      <c r="T104" s="1">
        <f t="shared" si="14"/>
        <v>6</v>
      </c>
    </row>
    <row r="105" spans="1:20" ht="15.75" x14ac:dyDescent="0.35">
      <c r="B105" s="1" t="str">
        <f t="shared" si="12"/>
        <v/>
      </c>
      <c r="C105" s="1" t="str">
        <f t="shared" si="9"/>
        <v/>
      </c>
      <c r="D105" s="6" t="str">
        <f t="shared" si="10"/>
        <v/>
      </c>
      <c r="E105"/>
      <c r="G105" s="1" t="str">
        <f t="shared" si="13"/>
        <v xml:space="preserve">その他 </v>
      </c>
      <c r="H105" s="1">
        <f t="shared" si="14"/>
        <v>2</v>
      </c>
      <c r="I105" s="1">
        <f t="shared" si="14"/>
        <v>1</v>
      </c>
      <c r="J105" s="1">
        <f t="shared" si="14"/>
        <v>1</v>
      </c>
      <c r="K105" s="1">
        <f t="shared" si="14"/>
        <v>1</v>
      </c>
      <c r="L105" s="1">
        <f t="shared" si="14"/>
        <v>1</v>
      </c>
      <c r="M105" s="1">
        <f t="shared" si="14"/>
        <v>1</v>
      </c>
      <c r="N105" s="1">
        <f t="shared" si="14"/>
        <v>1</v>
      </c>
      <c r="O105" s="1" t="e">
        <f t="shared" si="14"/>
        <v>#N/A</v>
      </c>
      <c r="P105" s="1" t="e">
        <f t="shared" si="14"/>
        <v>#N/A</v>
      </c>
      <c r="Q105" s="1" t="e">
        <f t="shared" si="14"/>
        <v>#N/A</v>
      </c>
      <c r="R105" s="1" t="e">
        <f t="shared" si="14"/>
        <v>#N/A</v>
      </c>
      <c r="S105" s="1" t="e">
        <f t="shared" si="14"/>
        <v>#N/A</v>
      </c>
      <c r="T105" s="1">
        <f t="shared" si="14"/>
        <v>7</v>
      </c>
    </row>
    <row r="106" spans="1:20" ht="15.75" x14ac:dyDescent="0.35">
      <c r="D106"/>
      <c r="E106"/>
    </row>
    <row r="107" spans="1:20" ht="15.75" x14ac:dyDescent="0.35">
      <c r="B107" s="1" t="s">
        <v>107</v>
      </c>
      <c r="E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ht="16.5" x14ac:dyDescent="0.35">
      <c r="B108" s="7" t="s">
        <v>6</v>
      </c>
      <c r="C108" s="7" t="s">
        <v>97</v>
      </c>
      <c r="D108" s="7" t="s">
        <v>93</v>
      </c>
      <c r="E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ht="15.75" x14ac:dyDescent="0.35">
      <c r="A109" s="3" cm="1">
        <f t="array" ref="A109">MATCH(B109&amp;C109,入力!$B:$B&amp;入力!$C:$C,0)</f>
        <v>6</v>
      </c>
      <c r="B109" s="1" t="str">
        <f>入力!B6&amp;""</f>
        <v>現預金</v>
      </c>
      <c r="C109" s="1" t="str">
        <f>入力!C6&amp;""</f>
        <v>〇〇銀行</v>
      </c>
      <c r="D109" s="6" cm="1">
        <f t="array" ref="D109">IFERROR(INDEX(入力!$F6:$Q6,0,集計!$B$1),0)</f>
        <v>1861248</v>
      </c>
      <c r="E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ht="15.75" x14ac:dyDescent="0.35">
      <c r="A110" s="3" cm="1">
        <f t="array" ref="A110">MATCH(B110&amp;C110,入力!$B:$B&amp;入力!$C:$C,0)</f>
        <v>7</v>
      </c>
      <c r="B110" s="1" t="str">
        <f>入力!B7&amp;""</f>
        <v>投資信託</v>
      </c>
      <c r="C110" s="1" t="str">
        <f>入力!C7&amp;""</f>
        <v>NISA</v>
      </c>
      <c r="D110" s="6" cm="1">
        <f t="array" ref="D110">IFERROR(INDEX(入力!$F7:$Q7,0,集計!$B$1),0)</f>
        <v>2610334</v>
      </c>
      <c r="E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ht="15.75" x14ac:dyDescent="0.35">
      <c r="A111" s="3" cm="1">
        <f t="array" ref="A111">MATCH(B111&amp;C111,入力!$B:$B&amp;入力!$C:$C,0)</f>
        <v>8</v>
      </c>
      <c r="B111" s="1" t="str">
        <f>入力!B8&amp;""</f>
        <v>年金</v>
      </c>
      <c r="C111" s="1" t="str">
        <f>入力!C8&amp;""</f>
        <v>iDeCo</v>
      </c>
      <c r="D111" s="6" cm="1">
        <f t="array" ref="D111">IFERROR(INDEX(入力!$F8:$Q8,0,集計!$B$1),0)</f>
        <v>1274839</v>
      </c>
      <c r="E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ht="15.75" x14ac:dyDescent="0.35">
      <c r="A112" s="3" cm="1">
        <f t="array" ref="A112">MATCH(B112&amp;C112,入力!$B:$B&amp;入力!$C:$C,0)</f>
        <v>9</v>
      </c>
      <c r="B112" s="1" t="str">
        <f>入力!B9&amp;""</f>
        <v>株式</v>
      </c>
      <c r="C112" s="1" t="str">
        <f>入力!C9&amp;""</f>
        <v>〇〇証券</v>
      </c>
      <c r="D112" s="6" cm="1">
        <f t="array" ref="D112">IFERROR(INDEX(入力!$F9:$Q9,0,集計!$B$1),0)</f>
        <v>1017933</v>
      </c>
      <c r="E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ht="15.75" x14ac:dyDescent="0.35">
      <c r="A113" s="3" cm="1">
        <f t="array" ref="A113">MATCH(B113&amp;C113,入力!$B:$B&amp;入力!$C:$C,0)</f>
        <v>10</v>
      </c>
      <c r="B113" s="1" t="str">
        <f>入力!B10&amp;""</f>
        <v>負債</v>
      </c>
      <c r="C113" s="1" t="str">
        <f>入力!C10&amp;""</f>
        <v>奨学金</v>
      </c>
      <c r="D113" s="6" cm="1">
        <f t="array" ref="D113">IFERROR(INDEX(入力!$F10:$Q10,0,集計!$B$1),0)</f>
        <v>-1101801</v>
      </c>
      <c r="E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ht="15.75" x14ac:dyDescent="0.35">
      <c r="A114" s="3" cm="1">
        <f t="array" ref="A114">MATCH(B114&amp;C114,入力!$B:$B&amp;入力!$C:$C,0)</f>
        <v>11</v>
      </c>
      <c r="B114" s="1" t="str">
        <f>入力!B11&amp;""</f>
        <v>負債</v>
      </c>
      <c r="C114" s="1" t="str">
        <f>入力!C11&amp;""</f>
        <v>〇〇カード</v>
      </c>
      <c r="D114" s="6" cm="1">
        <f t="array" ref="D114">IFERROR(INDEX(入力!$F11:$Q11,0,集計!$B$1),0)</f>
        <v>-183143</v>
      </c>
      <c r="E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ht="15.75" x14ac:dyDescent="0.35">
      <c r="A115" s="3" cm="1">
        <f t="array" ref="A115">MATCH(B115&amp;C115,入力!$B:$B&amp;入力!$C:$C,0)</f>
        <v>2</v>
      </c>
      <c r="B115" s="1" t="str">
        <f>入力!B12&amp;""</f>
        <v/>
      </c>
      <c r="C115" s="1" t="str">
        <f>入力!C12&amp;""</f>
        <v/>
      </c>
      <c r="D115" s="6" cm="1">
        <f t="array" ref="D115">IFERROR(INDEX(入力!$F12:$Q12,0,集計!$B$1),0)</f>
        <v>0</v>
      </c>
      <c r="E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ht="15.75" x14ac:dyDescent="0.35">
      <c r="A116" s="3" cm="1">
        <f t="array" ref="A116">MATCH(B116&amp;C116,入力!$B:$B&amp;入力!$C:$C,0)</f>
        <v>2</v>
      </c>
      <c r="B116" s="1" t="str">
        <f>入力!B13&amp;""</f>
        <v/>
      </c>
      <c r="C116" s="1" t="str">
        <f>入力!C13&amp;""</f>
        <v/>
      </c>
      <c r="D116" s="6" cm="1">
        <f t="array" ref="D116">IFERROR(INDEX(入力!$F13:$Q13,0,集計!$B$1),0)</f>
        <v>0</v>
      </c>
      <c r="E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ht="15.75" x14ac:dyDescent="0.35">
      <c r="A117" s="3" cm="1">
        <f t="array" ref="A117">MATCH(B117&amp;C117,入力!$B:$B&amp;入力!$C:$C,0)</f>
        <v>2</v>
      </c>
      <c r="B117" s="1" t="str">
        <f>入力!B14&amp;""</f>
        <v/>
      </c>
      <c r="C117" s="1" t="str">
        <f>入力!C14&amp;""</f>
        <v/>
      </c>
      <c r="D117" s="6" cm="1">
        <f t="array" ref="D117">IFERROR(INDEX(入力!$F14:$Q14,0,集計!$B$1),0)</f>
        <v>0</v>
      </c>
      <c r="E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ht="15.75" x14ac:dyDescent="0.35">
      <c r="A118" s="3" cm="1">
        <f t="array" ref="A118">MATCH(B118&amp;C118,入力!$B:$B&amp;入力!$C:$C,0)</f>
        <v>2</v>
      </c>
      <c r="B118" s="1" t="str">
        <f>入力!B15&amp;""</f>
        <v/>
      </c>
      <c r="C118" s="1" t="str">
        <f>入力!C15&amp;""</f>
        <v/>
      </c>
      <c r="D118" s="6" cm="1">
        <f t="array" ref="D118">IFERROR(INDEX(入力!$F15:$Q15,0,集計!$B$1),0)</f>
        <v>0</v>
      </c>
      <c r="E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ht="15.75" x14ac:dyDescent="0.35">
      <c r="E119"/>
    </row>
    <row r="120" spans="1:20" ht="15.75" x14ac:dyDescent="0.35">
      <c r="E120"/>
    </row>
    <row r="121" spans="1:20" ht="15.75" x14ac:dyDescent="0.35">
      <c r="E121"/>
    </row>
    <row r="122" spans="1:20" ht="15.75" x14ac:dyDescent="0.35">
      <c r="E122"/>
    </row>
    <row r="123" spans="1:20" ht="15.75" x14ac:dyDescent="0.35">
      <c r="E123"/>
    </row>
    <row r="124" spans="1:20" ht="15.75" x14ac:dyDescent="0.35">
      <c r="E124"/>
    </row>
    <row r="125" spans="1:20" ht="15.75" x14ac:dyDescent="0.35">
      <c r="E125"/>
    </row>
    <row r="126" spans="1:20" ht="15.75" x14ac:dyDescent="0.35">
      <c r="E126"/>
    </row>
    <row r="127" spans="1:20" ht="15.75" x14ac:dyDescent="0.35">
      <c r="E127"/>
    </row>
    <row r="128" spans="1:20" ht="15.75" x14ac:dyDescent="0.35">
      <c r="E128"/>
    </row>
    <row r="129" spans="5:5" ht="15.75" x14ac:dyDescent="0.35">
      <c r="E129"/>
    </row>
    <row r="130" spans="5:5" ht="15.75" x14ac:dyDescent="0.35">
      <c r="E130"/>
    </row>
    <row r="131" spans="5:5" ht="15.75" x14ac:dyDescent="0.35">
      <c r="E131"/>
    </row>
    <row r="132" spans="5:5" ht="15.75" x14ac:dyDescent="0.35">
      <c r="E132"/>
    </row>
    <row r="133" spans="5:5" ht="15.75" x14ac:dyDescent="0.35">
      <c r="E133"/>
    </row>
    <row r="134" spans="5:5" ht="15.75" x14ac:dyDescent="0.35">
      <c r="E134"/>
    </row>
  </sheetData>
  <phoneticPr fontId="1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一覧</vt:lpstr>
      <vt:lpstr>入力</vt:lpstr>
      <vt:lpstr>入力例</vt:lpstr>
      <vt:lpstr>集計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2023-07-05T15:14:00Z</dcterms:created>
  <dcterms:modified xsi:type="dcterms:W3CDTF">2025-07-08T14:05:35Z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C589B442008C4EC48D743F1200CD01F4</vt:lpwstr>
  </property>
  <property fmtid="{D5CDD505-2E9C-101B-9397-08002B2CF9AE}" pid="3" name="KSOProductBuildVer">
    <vt:lpwstr>1041-11.2.0.10624</vt:lpwstr>
  </property>
</Properties>
</file>